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10020" yWindow="30" windowWidth="9465" windowHeight="8760" tabRatio="943"/>
  </bookViews>
  <sheets>
    <sheet name="Assum-CFL" sheetId="27" r:id="rId1"/>
    <sheet name="Prj Cost-CFL" sheetId="1" r:id="rId2"/>
    <sheet name="Operation &amp; WC-CFL" sheetId="8" r:id="rId3"/>
    <sheet name="Depreciation-CFL" sheetId="23" r:id="rId4"/>
    <sheet name="Tax Calc_CFL" sheetId="49" r:id="rId5"/>
    <sheet name="P&amp;L-CFL" sheetId="9" r:id="rId6"/>
    <sheet name="Tax Calc_CFL CDM" sheetId="51" r:id="rId7"/>
    <sheet name="P&amp;L-CFL CDM" sheetId="52" r:id="rId8"/>
    <sheet name="Sensitivity Analysis" sheetId="45" r:id="rId9"/>
    <sheet name="Assum-IL" sheetId="33" r:id="rId10"/>
    <sheet name="Prj Cost-IL" sheetId="34" r:id="rId11"/>
    <sheet name="Operation &amp; WC-IL" sheetId="35" r:id="rId12"/>
    <sheet name="Depreciation-IL" sheetId="53" r:id="rId13"/>
    <sheet name="Tax Calc_IL" sheetId="50" r:id="rId14"/>
    <sheet name="P&amp;L-IL" sheetId="38" r:id="rId15"/>
  </sheets>
  <definedNames>
    <definedName name="_xlnm.Print_Area" localSheetId="2">'Operation &amp; WC-CFL'!$A$5:$U$10</definedName>
    <definedName name="_xlnm.Print_Area" localSheetId="11">'Operation &amp; WC-IL'!$A$2:$U$8</definedName>
    <definedName name="_xlnm.Print_Area" localSheetId="5">'P&amp;L-CFL'!$A$9:$K$32</definedName>
    <definedName name="_xlnm.Print_Area" localSheetId="7">'P&amp;L-CFL CDM'!$A$5:$K$30</definedName>
    <definedName name="_xlnm.Print_Area" localSheetId="14">'P&amp;L-IL'!$A$1:$J$27</definedName>
    <definedName name="_xlnm.Print_Area" localSheetId="1">'Prj Cost-CFL'!$B$1:$J$14</definedName>
    <definedName name="_xlnm.Print_Area" localSheetId="10">'Prj Cost-IL'!$B$3:$G$13</definedName>
  </definedNames>
  <calcPr calcId="124519" iterate="1" iterateCount="1000"/>
</workbook>
</file>

<file path=xl/calcChain.xml><?xml version="1.0" encoding="utf-8"?>
<calcChain xmlns="http://schemas.openxmlformats.org/spreadsheetml/2006/main">
  <c r="D10" i="35"/>
  <c r="E10" s="1"/>
  <c r="F10" s="1"/>
  <c r="G10" s="1"/>
  <c r="H10" s="1"/>
  <c r="I10" s="1"/>
  <c r="J10" s="1"/>
  <c r="K10" s="1"/>
  <c r="L10" s="1"/>
  <c r="M10" s="1"/>
  <c r="N10" s="1"/>
  <c r="O10" s="1"/>
  <c r="P10" s="1"/>
  <c r="Q10" s="1"/>
  <c r="R10" s="1"/>
  <c r="S10" s="1"/>
  <c r="T10" s="1"/>
  <c r="U10" s="1"/>
  <c r="V10" s="1"/>
  <c r="W10" s="1"/>
  <c r="C16" i="33"/>
  <c r="F5" i="38"/>
  <c r="G5" s="1"/>
  <c r="H5" s="1"/>
  <c r="I5" s="1"/>
  <c r="J5" s="1"/>
  <c r="K5" s="1"/>
  <c r="L5" s="1"/>
  <c r="M5" s="1"/>
  <c r="N5" s="1"/>
  <c r="O5" s="1"/>
  <c r="P5" s="1"/>
  <c r="Q5" s="1"/>
  <c r="R5" s="1"/>
  <c r="S5" s="1"/>
  <c r="T5" s="1"/>
  <c r="U5" s="1"/>
  <c r="V5" s="1"/>
  <c r="W5" s="1"/>
  <c r="X5" s="1"/>
  <c r="E5"/>
  <c r="D5"/>
  <c r="C38" i="33"/>
  <c r="G10" i="9"/>
  <c r="H10"/>
  <c r="H6" i="52" s="1"/>
  <c r="F10" i="9"/>
  <c r="F6" i="52"/>
  <c r="E10" i="9"/>
  <c r="E6" i="52"/>
  <c r="D10" i="9"/>
  <c r="D6" i="52"/>
  <c r="C16" i="27"/>
  <c r="H8" i="9" s="1"/>
  <c r="E9" i="1"/>
  <c r="C9"/>
  <c r="C6" i="27" s="1"/>
  <c r="C69"/>
  <c r="D11"/>
  <c r="D10"/>
  <c r="D9"/>
  <c r="D8"/>
  <c r="D7"/>
  <c r="D6"/>
  <c r="D5"/>
  <c r="D4"/>
  <c r="H5" i="9"/>
  <c r="H6"/>
  <c r="H2" i="52"/>
  <c r="X49" i="9"/>
  <c r="C5" i="27"/>
  <c r="E17" i="23" s="1"/>
  <c r="C7" i="27"/>
  <c r="E19" i="23" s="1"/>
  <c r="C8" i="27"/>
  <c r="D10" i="23" s="1"/>
  <c r="C9" i="27"/>
  <c r="D11" i="23" s="1"/>
  <c r="C10" i="27"/>
  <c r="D12" i="23" s="1"/>
  <c r="C11" i="27"/>
  <c r="D13" i="23" s="1"/>
  <c r="C4" i="27"/>
  <c r="C12" s="1"/>
  <c r="D7" i="23" s="1"/>
  <c r="D14" s="1"/>
  <c r="D26" i="35"/>
  <c r="E26" s="1"/>
  <c r="F26" s="1"/>
  <c r="G26" s="1"/>
  <c r="H26" s="1"/>
  <c r="I26" s="1"/>
  <c r="J26" s="1"/>
  <c r="K26" s="1"/>
  <c r="L26" s="1"/>
  <c r="M26" s="1"/>
  <c r="N26" s="1"/>
  <c r="O26" s="1"/>
  <c r="P26" s="1"/>
  <c r="Q26" s="1"/>
  <c r="R26" s="1"/>
  <c r="S26" s="1"/>
  <c r="T26" s="1"/>
  <c r="U26" s="1"/>
  <c r="V26" s="1"/>
  <c r="W26" s="1"/>
  <c r="C26"/>
  <c r="W17"/>
  <c r="V17"/>
  <c r="U17"/>
  <c r="T17"/>
  <c r="S17"/>
  <c r="R17"/>
  <c r="Q17"/>
  <c r="P17"/>
  <c r="O17"/>
  <c r="N17"/>
  <c r="M17"/>
  <c r="L17"/>
  <c r="K17"/>
  <c r="J17"/>
  <c r="I17"/>
  <c r="H17"/>
  <c r="G17"/>
  <c r="F17"/>
  <c r="E17"/>
  <c r="D17"/>
  <c r="C17"/>
  <c r="C31" i="27"/>
  <c r="D28" i="52"/>
  <c r="E28"/>
  <c r="F28"/>
  <c r="G28"/>
  <c r="H28"/>
  <c r="I28"/>
  <c r="J28"/>
  <c r="K28"/>
  <c r="L28"/>
  <c r="M28"/>
  <c r="N28"/>
  <c r="O28"/>
  <c r="P28"/>
  <c r="Q28"/>
  <c r="R28"/>
  <c r="S28"/>
  <c r="T28"/>
  <c r="U28"/>
  <c r="V28"/>
  <c r="W28"/>
  <c r="X28"/>
  <c r="D31" i="8"/>
  <c r="E31" s="1"/>
  <c r="F31" s="1"/>
  <c r="G31" s="1"/>
  <c r="H31" s="1"/>
  <c r="I31" s="1"/>
  <c r="J31" s="1"/>
  <c r="K31" s="1"/>
  <c r="L31" s="1"/>
  <c r="M31" s="1"/>
  <c r="N31" s="1"/>
  <c r="O31" s="1"/>
  <c r="P31" s="1"/>
  <c r="Q31" s="1"/>
  <c r="R31" s="1"/>
  <c r="S31" s="1"/>
  <c r="T31" s="1"/>
  <c r="U31" s="1"/>
  <c r="V31" s="1"/>
  <c r="W31" s="1"/>
  <c r="C53" i="27"/>
  <c r="C52"/>
  <c r="D18" i="9"/>
  <c r="D15" i="52" s="1"/>
  <c r="C35" i="27"/>
  <c r="C32"/>
  <c r="D10" i="8"/>
  <c r="E10" s="1"/>
  <c r="F10" s="1"/>
  <c r="G10" s="1"/>
  <c r="H10" s="1"/>
  <c r="I10" s="1"/>
  <c r="J10" s="1"/>
  <c r="K10" s="1"/>
  <c r="L10" s="1"/>
  <c r="M10" s="1"/>
  <c r="N10" s="1"/>
  <c r="O10" s="1"/>
  <c r="P10" s="1"/>
  <c r="Q10" s="1"/>
  <c r="R10" s="1"/>
  <c r="S10" s="1"/>
  <c r="T10" s="1"/>
  <c r="U10" s="1"/>
  <c r="V10" s="1"/>
  <c r="W10" s="1"/>
  <c r="E25" i="38"/>
  <c r="F25"/>
  <c r="D25"/>
  <c r="D30" i="9"/>
  <c r="E30"/>
  <c r="X1" i="53"/>
  <c r="E1"/>
  <c r="F1"/>
  <c r="G1"/>
  <c r="H1"/>
  <c r="I1"/>
  <c r="J1"/>
  <c r="K1"/>
  <c r="L1"/>
  <c r="M1"/>
  <c r="N1"/>
  <c r="O1"/>
  <c r="P1"/>
  <c r="Q1"/>
  <c r="R1"/>
  <c r="S1"/>
  <c r="T1"/>
  <c r="U1"/>
  <c r="V1"/>
  <c r="W1"/>
  <c r="D1"/>
  <c r="Y4" i="23"/>
  <c r="F4"/>
  <c r="G4"/>
  <c r="H4"/>
  <c r="I4"/>
  <c r="J4"/>
  <c r="K4"/>
  <c r="L4"/>
  <c r="M4"/>
  <c r="N4"/>
  <c r="O4"/>
  <c r="P4"/>
  <c r="Q4"/>
  <c r="R4"/>
  <c r="S4"/>
  <c r="T4"/>
  <c r="U4"/>
  <c r="V4"/>
  <c r="W4"/>
  <c r="X4"/>
  <c r="E4"/>
  <c r="W22" i="8"/>
  <c r="C31"/>
  <c r="C29" i="53"/>
  <c r="C28"/>
  <c r="C14"/>
  <c r="C13"/>
  <c r="D22" i="8"/>
  <c r="E22"/>
  <c r="F22"/>
  <c r="G22"/>
  <c r="H22"/>
  <c r="I22"/>
  <c r="J22"/>
  <c r="K22"/>
  <c r="L22"/>
  <c r="M22"/>
  <c r="N22"/>
  <c r="O22"/>
  <c r="P22"/>
  <c r="Q22"/>
  <c r="R22"/>
  <c r="S22"/>
  <c r="T22"/>
  <c r="U22"/>
  <c r="V22"/>
  <c r="C22"/>
  <c r="C28" i="27"/>
  <c r="H7" i="9"/>
  <c r="D39" i="23"/>
  <c r="D40"/>
  <c r="D38"/>
  <c r="D18"/>
  <c r="D19"/>
  <c r="D17"/>
  <c r="C54" i="52"/>
  <c r="C57" s="1"/>
  <c r="C59" s="1"/>
  <c r="C34" i="33"/>
  <c r="E11" i="38"/>
  <c r="F11"/>
  <c r="G11" s="1"/>
  <c r="H11" s="1"/>
  <c r="I11" s="1"/>
  <c r="J11" s="1"/>
  <c r="K11" s="1"/>
  <c r="L11" s="1"/>
  <c r="M11" s="1"/>
  <c r="N11" s="1"/>
  <c r="O11" s="1"/>
  <c r="P11" s="1"/>
  <c r="Q11" s="1"/>
  <c r="R11" s="1"/>
  <c r="S11" s="1"/>
  <c r="T11" s="1"/>
  <c r="U11" s="1"/>
  <c r="V11" s="1"/>
  <c r="W11" s="1"/>
  <c r="X11" s="1"/>
  <c r="C33" i="33"/>
  <c r="D11" i="38"/>
  <c r="C17" i="33"/>
  <c r="E18" i="9"/>
  <c r="F18" s="1"/>
  <c r="F11" i="8"/>
  <c r="G11" s="1"/>
  <c r="H11" s="1"/>
  <c r="I11" s="1"/>
  <c r="J11" s="1"/>
  <c r="K11" s="1"/>
  <c r="L11" s="1"/>
  <c r="M11" s="1"/>
  <c r="N11" s="1"/>
  <c r="O11" s="1"/>
  <c r="P11" s="1"/>
  <c r="Q11" s="1"/>
  <c r="R11" s="1"/>
  <c r="S11" s="1"/>
  <c r="T11" s="1"/>
  <c r="U11" s="1"/>
  <c r="V11" s="1"/>
  <c r="W11" s="1"/>
  <c r="E11"/>
  <c r="D11"/>
  <c r="C11"/>
  <c r="C10"/>
  <c r="D14" i="9"/>
  <c r="D10" i="52" s="1"/>
  <c r="C60"/>
  <c r="D60"/>
  <c r="E60"/>
  <c r="F60"/>
  <c r="G60"/>
  <c r="H60"/>
  <c r="I60"/>
  <c r="J60"/>
  <c r="K60"/>
  <c r="C52"/>
  <c r="C53"/>
  <c r="C20" i="27"/>
  <c r="C17" i="8" s="1"/>
  <c r="C21" i="27"/>
  <c r="C18" i="8" s="1"/>
  <c r="C18" i="33"/>
  <c r="C10" i="35"/>
  <c r="D13" i="9"/>
  <c r="D9" i="52" s="1"/>
  <c r="C6" i="34"/>
  <c r="C7"/>
  <c r="D13" i="53" s="1"/>
  <c r="C8" i="34"/>
  <c r="D14" i="53" s="1"/>
  <c r="C9" i="34"/>
  <c r="C7" i="53" s="1"/>
  <c r="C10" i="34"/>
  <c r="C8" i="53" s="1"/>
  <c r="C11" i="34"/>
  <c r="C9" i="53" s="1"/>
  <c r="C12" i="34"/>
  <c r="C10" i="53" s="1"/>
  <c r="I49" i="52"/>
  <c r="I50"/>
  <c r="C20" i="9"/>
  <c r="I21" s="1"/>
  <c r="G25" i="38"/>
  <c r="H25"/>
  <c r="I25"/>
  <c r="J25"/>
  <c r="K25"/>
  <c r="L25"/>
  <c r="M25"/>
  <c r="N25"/>
  <c r="O25"/>
  <c r="P25"/>
  <c r="Q25"/>
  <c r="R25"/>
  <c r="S25"/>
  <c r="T25"/>
  <c r="U25"/>
  <c r="V25"/>
  <c r="W25"/>
  <c r="X25"/>
  <c r="C25"/>
  <c r="F30" i="9"/>
  <c r="G30"/>
  <c r="H30"/>
  <c r="I30"/>
  <c r="J30"/>
  <c r="K30"/>
  <c r="L30"/>
  <c r="M30"/>
  <c r="N30"/>
  <c r="O30"/>
  <c r="P30"/>
  <c r="Q30"/>
  <c r="R30"/>
  <c r="S30"/>
  <c r="T30"/>
  <c r="U30"/>
  <c r="V30"/>
  <c r="W30"/>
  <c r="X30"/>
  <c r="C28" i="52"/>
  <c r="C30" i="9"/>
  <c r="D21"/>
  <c r="D18" i="52" s="1"/>
  <c r="E21" i="9"/>
  <c r="E18" i="52" s="1"/>
  <c r="E15"/>
  <c r="C17"/>
  <c r="G21" i="9"/>
  <c r="G18" i="52" s="1"/>
  <c r="J21" i="9"/>
  <c r="J18" i="52" s="1"/>
  <c r="D9" i="23"/>
  <c r="H3" i="52"/>
  <c r="E13" i="9"/>
  <c r="F13" s="1"/>
  <c r="I10"/>
  <c r="J10" s="1"/>
  <c r="G6" i="52"/>
  <c r="E4" i="38" l="1"/>
  <c r="E6" s="1"/>
  <c r="E18" s="1"/>
  <c r="D4"/>
  <c r="D6" s="1"/>
  <c r="D28" i="53"/>
  <c r="D18"/>
  <c r="E31" i="23"/>
  <c r="E40"/>
  <c r="E38"/>
  <c r="E23"/>
  <c r="E24" s="1"/>
  <c r="E25" s="1"/>
  <c r="F23" s="1"/>
  <c r="E18"/>
  <c r="C39" i="27"/>
  <c r="C12" i="8" s="1"/>
  <c r="D12" s="1"/>
  <c r="E12" s="1"/>
  <c r="F12" s="1"/>
  <c r="G12" s="1"/>
  <c r="H12" s="1"/>
  <c r="I12" s="1"/>
  <c r="J12" s="1"/>
  <c r="K12" s="1"/>
  <c r="L12" s="1"/>
  <c r="M12" s="1"/>
  <c r="N12" s="1"/>
  <c r="O12" s="1"/>
  <c r="P12" s="1"/>
  <c r="Q12" s="1"/>
  <c r="R12" s="1"/>
  <c r="S12" s="1"/>
  <c r="T12" s="1"/>
  <c r="U12" s="1"/>
  <c r="V12" s="1"/>
  <c r="W12" s="1"/>
  <c r="C13" i="34"/>
  <c r="C13" i="33" s="1"/>
  <c r="E9" i="52"/>
  <c r="K21" i="9"/>
  <c r="K18" i="52" s="1"/>
  <c r="H21" i="9"/>
  <c r="H18" i="52" s="1"/>
  <c r="F21" i="9"/>
  <c r="F18" i="52" s="1"/>
  <c r="D22" i="9"/>
  <c r="E14"/>
  <c r="C6" i="53"/>
  <c r="C39" i="38"/>
  <c r="G11" i="9"/>
  <c r="G7" i="52" s="1"/>
  <c r="G12" i="9"/>
  <c r="G8" i="52" s="1"/>
  <c r="F12" i="9"/>
  <c r="F8" i="52" s="1"/>
  <c r="H4"/>
  <c r="E12" i="9"/>
  <c r="E8" i="52" s="1"/>
  <c r="H12" i="9"/>
  <c r="H8" i="52" s="1"/>
  <c r="I12" i="9"/>
  <c r="I8" i="52" s="1"/>
  <c r="D11" i="9"/>
  <c r="F11"/>
  <c r="F7" i="52" s="1"/>
  <c r="E11" i="9"/>
  <c r="D12"/>
  <c r="D8" i="52" s="1"/>
  <c r="H11" i="9"/>
  <c r="H7" i="52" s="1"/>
  <c r="I11" i="9"/>
  <c r="I7" i="52" s="1"/>
  <c r="J6"/>
  <c r="K10" i="9"/>
  <c r="J11"/>
  <c r="J12"/>
  <c r="J8" i="52" s="1"/>
  <c r="G13" i="9"/>
  <c r="F9" i="52"/>
  <c r="I6"/>
  <c r="F24" i="23"/>
  <c r="D22" i="53"/>
  <c r="D29"/>
  <c r="F15" i="52"/>
  <c r="G18" i="9"/>
  <c r="C44"/>
  <c r="C45" s="1"/>
  <c r="C43" i="52"/>
  <c r="C44" s="1"/>
  <c r="I18"/>
  <c r="C12" i="33"/>
  <c r="C13" i="38" s="1"/>
  <c r="D14" s="1"/>
  <c r="D15" s="1"/>
  <c r="C4" i="53"/>
  <c r="C11" s="1"/>
  <c r="C61" i="52"/>
  <c r="D59"/>
  <c r="F14" i="38"/>
  <c r="K14"/>
  <c r="H8" i="8"/>
  <c r="D30" i="38" l="1"/>
  <c r="D31" s="1"/>
  <c r="D32" s="1"/>
  <c r="D33" s="1"/>
  <c r="C22" i="35" s="1"/>
  <c r="D18" i="38"/>
  <c r="C5" i="35"/>
  <c r="C9" s="1"/>
  <c r="F4" i="38"/>
  <c r="D23" i="9"/>
  <c r="D20" i="52" s="1"/>
  <c r="E22" i="9"/>
  <c r="D19" i="52"/>
  <c r="E39" i="23"/>
  <c r="E27"/>
  <c r="E43"/>
  <c r="F38"/>
  <c r="E44" s="1"/>
  <c r="E32"/>
  <c r="E33"/>
  <c r="F31" s="1"/>
  <c r="D32" i="53"/>
  <c r="E28"/>
  <c r="D33" s="1"/>
  <c r="F14" i="9"/>
  <c r="E10" i="52"/>
  <c r="E51" i="23"/>
  <c r="F40"/>
  <c r="D19" i="53"/>
  <c r="D20" s="1"/>
  <c r="E18" s="1"/>
  <c r="E19" s="1"/>
  <c r="E20" s="1"/>
  <c r="F18" s="1"/>
  <c r="J14" i="38"/>
  <c r="D8" i="8"/>
  <c r="I8"/>
  <c r="C8"/>
  <c r="F8"/>
  <c r="G8"/>
  <c r="D5" i="35"/>
  <c r="C11"/>
  <c r="C7"/>
  <c r="F15" i="9"/>
  <c r="F25" s="1"/>
  <c r="F22" i="52" s="1"/>
  <c r="E8" i="8"/>
  <c r="E30" i="38"/>
  <c r="E31" s="1"/>
  <c r="E32" s="1"/>
  <c r="E33" s="1"/>
  <c r="D22" i="35" s="1"/>
  <c r="E7" i="52"/>
  <c r="E15" i="9"/>
  <c r="D15"/>
  <c r="D7" i="52"/>
  <c r="D61"/>
  <c r="E59"/>
  <c r="H18" i="9"/>
  <c r="G15" i="52"/>
  <c r="D36" i="53"/>
  <c r="E29"/>
  <c r="J7" i="52"/>
  <c r="I14" i="38"/>
  <c r="E14"/>
  <c r="E15" s="1"/>
  <c r="G14"/>
  <c r="H14"/>
  <c r="F25" i="23"/>
  <c r="G23" s="1"/>
  <c r="D24" i="53"/>
  <c r="E22" s="1"/>
  <c r="D23"/>
  <c r="D25" s="1"/>
  <c r="B7" i="50" s="1"/>
  <c r="H13" i="9"/>
  <c r="G9" i="52"/>
  <c r="L10" i="9"/>
  <c r="K12"/>
  <c r="K8" i="52" s="1"/>
  <c r="K6"/>
  <c r="K11" i="9"/>
  <c r="D16" i="38"/>
  <c r="D11" i="35" l="1"/>
  <c r="D8"/>
  <c r="G4" i="38"/>
  <c r="F6"/>
  <c r="C6" i="35"/>
  <c r="C8"/>
  <c r="E8" s="1"/>
  <c r="F8" s="1"/>
  <c r="G8" s="1"/>
  <c r="H8" s="1"/>
  <c r="I8" s="1"/>
  <c r="J8" s="1"/>
  <c r="K8" s="1"/>
  <c r="L8" s="1"/>
  <c r="M8" s="1"/>
  <c r="N8" s="1"/>
  <c r="O8" s="1"/>
  <c r="P8" s="1"/>
  <c r="Q8" s="1"/>
  <c r="R8" s="1"/>
  <c r="S8" s="1"/>
  <c r="T8" s="1"/>
  <c r="U8" s="1"/>
  <c r="V8" s="1"/>
  <c r="W8" s="1"/>
  <c r="F19" i="53"/>
  <c r="F20" s="1"/>
  <c r="G18" s="1"/>
  <c r="G19" s="1"/>
  <c r="F32" i="23"/>
  <c r="F33" s="1"/>
  <c r="G31" s="1"/>
  <c r="G32" s="1"/>
  <c r="G33" s="1"/>
  <c r="H31" s="1"/>
  <c r="H32" s="1"/>
  <c r="H33" s="1"/>
  <c r="I31" s="1"/>
  <c r="E28"/>
  <c r="E34" s="1"/>
  <c r="C10" i="49" s="1"/>
  <c r="C8" i="51" s="1"/>
  <c r="F10" i="52"/>
  <c r="G14" i="9"/>
  <c r="E47" i="23"/>
  <c r="F39"/>
  <c r="F22" i="9"/>
  <c r="E19" i="52"/>
  <c r="E23" i="9"/>
  <c r="E20" i="52" s="1"/>
  <c r="E52" i="23"/>
  <c r="E53" s="1"/>
  <c r="F51" s="1"/>
  <c r="F52" s="1"/>
  <c r="F53" s="1"/>
  <c r="G51" s="1"/>
  <c r="D34" i="53"/>
  <c r="E32" s="1"/>
  <c r="E33" s="1"/>
  <c r="E34" s="1"/>
  <c r="F32" s="1"/>
  <c r="E45" i="23"/>
  <c r="F12" i="52"/>
  <c r="F33" s="1"/>
  <c r="F34" s="1"/>
  <c r="F35" s="1"/>
  <c r="F36" s="1"/>
  <c r="D6" i="35"/>
  <c r="D9"/>
  <c r="F35" i="9"/>
  <c r="F36" s="1"/>
  <c r="F37" s="1"/>
  <c r="F38" s="1"/>
  <c r="D7" i="35"/>
  <c r="C25"/>
  <c r="C19"/>
  <c r="D25" i="9"/>
  <c r="D22" i="52" s="1"/>
  <c r="D35" i="9"/>
  <c r="D12" i="52"/>
  <c r="D33" s="1"/>
  <c r="E25" i="9"/>
  <c r="E22" i="52" s="1"/>
  <c r="E12"/>
  <c r="E33" s="1"/>
  <c r="E35" i="9"/>
  <c r="E36" s="1"/>
  <c r="E37" s="1"/>
  <c r="E38" s="1"/>
  <c r="F33" i="53"/>
  <c r="F34" s="1"/>
  <c r="G32" s="1"/>
  <c r="K7" i="52"/>
  <c r="J8" i="8"/>
  <c r="H9" i="52"/>
  <c r="I13" i="9"/>
  <c r="G24" i="23"/>
  <c r="M10" i="9"/>
  <c r="L11"/>
  <c r="L12"/>
  <c r="L8" i="52" s="1"/>
  <c r="L6"/>
  <c r="E23" i="53"/>
  <c r="E25" s="1"/>
  <c r="C7" i="50" s="1"/>
  <c r="D37" i="53"/>
  <c r="D39" s="1"/>
  <c r="D38"/>
  <c r="E36" s="1"/>
  <c r="H15" i="52"/>
  <c r="I18" i="9"/>
  <c r="E61" i="52"/>
  <c r="F59"/>
  <c r="F15" i="38"/>
  <c r="E16"/>
  <c r="C12" i="35" l="1"/>
  <c r="D8" i="38" s="1"/>
  <c r="D10" s="1"/>
  <c r="D35" s="1"/>
  <c r="G6"/>
  <c r="H4"/>
  <c r="E5" i="35"/>
  <c r="F18" i="38"/>
  <c r="F30"/>
  <c r="F31" s="1"/>
  <c r="F32" s="1"/>
  <c r="F33" s="1"/>
  <c r="E22" i="35" s="1"/>
  <c r="D25"/>
  <c r="F43" i="23"/>
  <c r="G52"/>
  <c r="G53" s="1"/>
  <c r="H51" s="1"/>
  <c r="H52" s="1"/>
  <c r="H53" s="1"/>
  <c r="I51" s="1"/>
  <c r="I52" s="1"/>
  <c r="I53" s="1"/>
  <c r="J51" s="1"/>
  <c r="G10" i="52"/>
  <c r="H14" i="9"/>
  <c r="G15"/>
  <c r="G22"/>
  <c r="F23"/>
  <c r="F20" i="52" s="1"/>
  <c r="F19"/>
  <c r="E48" i="23"/>
  <c r="E29"/>
  <c r="F27" s="1"/>
  <c r="D19" i="35"/>
  <c r="D12"/>
  <c r="E8" i="38" s="1"/>
  <c r="E10" s="1"/>
  <c r="E35" s="1"/>
  <c r="E34" i="52"/>
  <c r="E35" s="1"/>
  <c r="D34"/>
  <c r="D35" s="1"/>
  <c r="D27" i="8"/>
  <c r="D13"/>
  <c r="D9"/>
  <c r="D36" i="9"/>
  <c r="D37" s="1"/>
  <c r="I32" i="23"/>
  <c r="I33" s="1"/>
  <c r="J31" s="1"/>
  <c r="J18" i="9"/>
  <c r="I15" i="52"/>
  <c r="E37" i="53"/>
  <c r="E39" s="1"/>
  <c r="D21" i="35" s="1"/>
  <c r="M11" i="9"/>
  <c r="M6" i="52"/>
  <c r="N10" i="9"/>
  <c r="M12"/>
  <c r="M8" i="52" s="1"/>
  <c r="G59"/>
  <c r="F61"/>
  <c r="B5" i="50"/>
  <c r="D20" i="38"/>
  <c r="C20" i="35"/>
  <c r="C21"/>
  <c r="L7" i="52"/>
  <c r="K8" i="8"/>
  <c r="J13" i="9"/>
  <c r="I9" i="52"/>
  <c r="G33" i="53"/>
  <c r="G34" s="1"/>
  <c r="H32" s="1"/>
  <c r="G20"/>
  <c r="H18" s="1"/>
  <c r="E24"/>
  <c r="F22" s="1"/>
  <c r="G25" i="23"/>
  <c r="H23" s="1"/>
  <c r="G15" i="38"/>
  <c r="F16"/>
  <c r="E13" i="8"/>
  <c r="E9"/>
  <c r="E27"/>
  <c r="E9" i="35" l="1"/>
  <c r="E7"/>
  <c r="E11"/>
  <c r="E6"/>
  <c r="G30" i="38"/>
  <c r="G31" s="1"/>
  <c r="G32" s="1"/>
  <c r="G33" s="1"/>
  <c r="F22" i="35" s="1"/>
  <c r="G18" i="38"/>
  <c r="F5" i="35"/>
  <c r="I4" i="38"/>
  <c r="H6"/>
  <c r="F28" i="23"/>
  <c r="F34" s="1"/>
  <c r="D10" i="49" s="1"/>
  <c r="D8" i="51" s="1"/>
  <c r="G25" i="9"/>
  <c r="G22" i="52" s="1"/>
  <c r="G12"/>
  <c r="G33" s="1"/>
  <c r="G34" s="1"/>
  <c r="G35" s="1"/>
  <c r="G35" i="9"/>
  <c r="G36" s="1"/>
  <c r="G37" s="1"/>
  <c r="G38" s="1"/>
  <c r="F9" i="8" s="1"/>
  <c r="F44" i="23"/>
  <c r="F45"/>
  <c r="E49"/>
  <c r="E54"/>
  <c r="H22" i="9"/>
  <c r="G23"/>
  <c r="G20" i="52" s="1"/>
  <c r="G19"/>
  <c r="H10"/>
  <c r="I14" i="9"/>
  <c r="H15"/>
  <c r="E38" i="53"/>
  <c r="F36" s="1"/>
  <c r="E36" i="52"/>
  <c r="D14" i="8"/>
  <c r="D24"/>
  <c r="D30"/>
  <c r="D38" i="9"/>
  <c r="D36" i="52"/>
  <c r="J52" i="23"/>
  <c r="J53"/>
  <c r="K51" s="1"/>
  <c r="F23" i="53"/>
  <c r="F25" s="1"/>
  <c r="D7" i="50" s="1"/>
  <c r="F24" i="53"/>
  <c r="G22" s="1"/>
  <c r="H59" i="52"/>
  <c r="G61"/>
  <c r="E20" i="38"/>
  <c r="C5" i="50"/>
  <c r="C23" i="35"/>
  <c r="C27" s="1"/>
  <c r="C29" s="1"/>
  <c r="C30" s="1"/>
  <c r="C31" s="1"/>
  <c r="D17" i="38" s="1"/>
  <c r="G36" i="52"/>
  <c r="D20" i="35"/>
  <c r="D23" s="1"/>
  <c r="D27" s="1"/>
  <c r="D29" s="1"/>
  <c r="D30" s="1"/>
  <c r="D31" s="1"/>
  <c r="E17" i="38" s="1"/>
  <c r="H24" i="23"/>
  <c r="H20" i="53"/>
  <c r="I18" s="1"/>
  <c r="H19"/>
  <c r="H33"/>
  <c r="H34" s="1"/>
  <c r="I32" s="1"/>
  <c r="K13" i="9"/>
  <c r="J9" i="52"/>
  <c r="N11" i="9"/>
  <c r="N6" i="52"/>
  <c r="O10" i="9"/>
  <c r="N12"/>
  <c r="N8" i="52" s="1"/>
  <c r="M7"/>
  <c r="L8" i="8"/>
  <c r="F37" i="53"/>
  <c r="F39" s="1"/>
  <c r="J15" i="52"/>
  <c r="K18" i="9"/>
  <c r="J32" i="23"/>
  <c r="J33" s="1"/>
  <c r="K31" s="1"/>
  <c r="H15" i="38"/>
  <c r="G16"/>
  <c r="E14" i="8"/>
  <c r="E24"/>
  <c r="E30"/>
  <c r="I6" i="38" l="1"/>
  <c r="J4"/>
  <c r="E19" i="35"/>
  <c r="E25"/>
  <c r="E12"/>
  <c r="F8" i="38" s="1"/>
  <c r="F10" s="1"/>
  <c r="F35" s="1"/>
  <c r="H18"/>
  <c r="G5" i="35"/>
  <c r="H30" i="38"/>
  <c r="H31" s="1"/>
  <c r="H32" s="1"/>
  <c r="H33" s="1"/>
  <c r="G22" i="35" s="1"/>
  <c r="F7"/>
  <c r="F9"/>
  <c r="F6"/>
  <c r="F11"/>
  <c r="F27" i="8"/>
  <c r="F13"/>
  <c r="H35" i="9"/>
  <c r="H36" s="1"/>
  <c r="H37" s="1"/>
  <c r="H38" s="1"/>
  <c r="H25"/>
  <c r="H22" i="52" s="1"/>
  <c r="H12"/>
  <c r="H33" s="1"/>
  <c r="H34" s="1"/>
  <c r="H35" s="1"/>
  <c r="H36" s="1"/>
  <c r="C8" i="49"/>
  <c r="C6" i="51" s="1"/>
  <c r="D27" i="9"/>
  <c r="D24" i="52" s="1"/>
  <c r="G43" i="23"/>
  <c r="G44" s="1"/>
  <c r="I10" i="52"/>
  <c r="J14" i="9"/>
  <c r="I15"/>
  <c r="H19" i="52"/>
  <c r="H23" i="9"/>
  <c r="H20" i="52" s="1"/>
  <c r="I22" i="9"/>
  <c r="F47" i="23"/>
  <c r="F48" s="1"/>
  <c r="F49" s="1"/>
  <c r="G47" s="1"/>
  <c r="G48" s="1"/>
  <c r="G49" s="1"/>
  <c r="H47" s="1"/>
  <c r="E55"/>
  <c r="F54"/>
  <c r="F29"/>
  <c r="G27" s="1"/>
  <c r="D25" i="8"/>
  <c r="E16" i="9"/>
  <c r="D26" i="8"/>
  <c r="C13"/>
  <c r="C9"/>
  <c r="C27"/>
  <c r="D28"/>
  <c r="D32" s="1"/>
  <c r="D34" s="1"/>
  <c r="D35" s="1"/>
  <c r="D36" s="1"/>
  <c r="E24" i="9" s="1"/>
  <c r="E21" i="52" s="1"/>
  <c r="I33" i="53"/>
  <c r="I34"/>
  <c r="J32" s="1"/>
  <c r="K32" i="23"/>
  <c r="K33" s="1"/>
  <c r="L31" s="1"/>
  <c r="E36" i="38"/>
  <c r="C3" i="50" s="1"/>
  <c r="E19" i="38"/>
  <c r="E23" s="1"/>
  <c r="E24" s="1"/>
  <c r="E26" s="1"/>
  <c r="D36"/>
  <c r="B3" i="50" s="1"/>
  <c r="D19" i="38"/>
  <c r="D23" s="1"/>
  <c r="D24" s="1"/>
  <c r="D26" s="1"/>
  <c r="I59" i="52"/>
  <c r="H61"/>
  <c r="G45" i="23"/>
  <c r="F38" i="53"/>
  <c r="G36" s="1"/>
  <c r="H25" i="23"/>
  <c r="I23" s="1"/>
  <c r="L18" i="9"/>
  <c r="K15" i="52"/>
  <c r="D5" i="50"/>
  <c r="F20" i="38"/>
  <c r="O12" i="9"/>
  <c r="O8" i="52" s="1"/>
  <c r="P10" i="9"/>
  <c r="O6" i="52"/>
  <c r="O11" i="9"/>
  <c r="N7" i="52"/>
  <c r="M8" i="8"/>
  <c r="K9" i="52"/>
  <c r="L13" i="9"/>
  <c r="F30" i="8"/>
  <c r="F24"/>
  <c r="F14"/>
  <c r="I19" i="53"/>
  <c r="I20" s="1"/>
  <c r="J18" s="1"/>
  <c r="G23"/>
  <c r="G25" s="1"/>
  <c r="E7" i="50" s="1"/>
  <c r="K52" i="23"/>
  <c r="K53" s="1"/>
  <c r="L51" s="1"/>
  <c r="E21" i="35"/>
  <c r="E20"/>
  <c r="I15" i="38"/>
  <c r="H16"/>
  <c r="F16" i="9"/>
  <c r="J6" i="38" l="1"/>
  <c r="K4"/>
  <c r="F25" i="35"/>
  <c r="F19"/>
  <c r="F12"/>
  <c r="G8" i="38" s="1"/>
  <c r="G10" s="1"/>
  <c r="G35" s="1"/>
  <c r="G6" i="35"/>
  <c r="G7"/>
  <c r="G9"/>
  <c r="G11"/>
  <c r="I18" i="38"/>
  <c r="H5" i="35"/>
  <c r="I30" i="38"/>
  <c r="I31" s="1"/>
  <c r="I32" s="1"/>
  <c r="I33" s="1"/>
  <c r="H22" i="35" s="1"/>
  <c r="E27" i="9"/>
  <c r="E24" i="52" s="1"/>
  <c r="D8" i="49"/>
  <c r="D6" i="51" s="1"/>
  <c r="J22" i="9"/>
  <c r="I19" i="52"/>
  <c r="I23" i="9"/>
  <c r="I20" i="52" s="1"/>
  <c r="J10"/>
  <c r="K14" i="9"/>
  <c r="J15"/>
  <c r="G27" i="8"/>
  <c r="G9"/>
  <c r="G13"/>
  <c r="F55" i="23"/>
  <c r="G28"/>
  <c r="G34" s="1"/>
  <c r="E10" i="49" s="1"/>
  <c r="E8" i="51" s="1"/>
  <c r="G29" i="23"/>
  <c r="H27" s="1"/>
  <c r="H48"/>
  <c r="H49" s="1"/>
  <c r="I47" s="1"/>
  <c r="I48" s="1"/>
  <c r="I49" s="1"/>
  <c r="J47" s="1"/>
  <c r="I35" i="9"/>
  <c r="I36" s="1"/>
  <c r="I37" s="1"/>
  <c r="I38" s="1"/>
  <c r="I12" i="52"/>
  <c r="I33" s="1"/>
  <c r="I34" s="1"/>
  <c r="I35" s="1"/>
  <c r="I36" s="1"/>
  <c r="I25" i="9"/>
  <c r="I22" i="52" s="1"/>
  <c r="G24" i="53"/>
  <c r="H22" s="1"/>
  <c r="H24" s="1"/>
  <c r="I22" s="1"/>
  <c r="G54" i="23"/>
  <c r="C14" i="8"/>
  <c r="C30"/>
  <c r="C24"/>
  <c r="E17" i="9"/>
  <c r="E13" i="52"/>
  <c r="E14" s="1"/>
  <c r="E23" s="1"/>
  <c r="E26" s="1"/>
  <c r="E27" s="1"/>
  <c r="E29" s="1"/>
  <c r="J19" i="53"/>
  <c r="J20"/>
  <c r="K18" s="1"/>
  <c r="G16" i="9"/>
  <c r="O7" i="52"/>
  <c r="N8" i="8"/>
  <c r="P11" i="9"/>
  <c r="Q10"/>
  <c r="P6" i="52"/>
  <c r="P12" i="9"/>
  <c r="P8" i="52" s="1"/>
  <c r="L15"/>
  <c r="M18" i="9"/>
  <c r="I25" i="23"/>
  <c r="J23" s="1"/>
  <c r="I24"/>
  <c r="G37" i="53"/>
  <c r="G39" s="1"/>
  <c r="B9" i="50"/>
  <c r="B10" s="1"/>
  <c r="B13"/>
  <c r="C9"/>
  <c r="C13"/>
  <c r="E23" i="35"/>
  <c r="E27" s="1"/>
  <c r="E29" s="1"/>
  <c r="E30" s="1"/>
  <c r="E31" s="1"/>
  <c r="F17" i="38" s="1"/>
  <c r="L52" i="23"/>
  <c r="L53" s="1"/>
  <c r="M51" s="1"/>
  <c r="H23" i="53"/>
  <c r="H25" s="1"/>
  <c r="F7" i="50" s="1"/>
  <c r="M13" i="9"/>
  <c r="L9" i="52"/>
  <c r="H43" i="23"/>
  <c r="G55"/>
  <c r="J59" i="52"/>
  <c r="I61"/>
  <c r="L32" i="23"/>
  <c r="L33" s="1"/>
  <c r="M31" s="1"/>
  <c r="J33" i="53"/>
  <c r="J34" s="1"/>
  <c r="K32" s="1"/>
  <c r="J15" i="38"/>
  <c r="I16"/>
  <c r="F13" i="52"/>
  <c r="F14" s="1"/>
  <c r="F17" i="9"/>
  <c r="H6" i="35" l="1"/>
  <c r="H9"/>
  <c r="H7"/>
  <c r="H11"/>
  <c r="I5"/>
  <c r="J18" i="38"/>
  <c r="J30"/>
  <c r="J31" s="1"/>
  <c r="G19" i="35"/>
  <c r="G25"/>
  <c r="G12"/>
  <c r="H8" i="38" s="1"/>
  <c r="H10" s="1"/>
  <c r="H35" s="1"/>
  <c r="L4"/>
  <c r="K6"/>
  <c r="J48" i="23"/>
  <c r="J49" s="1"/>
  <c r="K47" s="1"/>
  <c r="K48" s="1"/>
  <c r="K49" s="1"/>
  <c r="L47" s="1"/>
  <c r="H28"/>
  <c r="H34" s="1"/>
  <c r="F10" i="49" s="1"/>
  <c r="F8" i="51" s="1"/>
  <c r="G14" i="8"/>
  <c r="H16" i="9" s="1"/>
  <c r="G24" i="8"/>
  <c r="G30"/>
  <c r="J35" i="9"/>
  <c r="J36" s="1"/>
  <c r="J37" s="1"/>
  <c r="J38" s="1"/>
  <c r="I9" i="8" s="1"/>
  <c r="J25" i="9"/>
  <c r="J22" i="52" s="1"/>
  <c r="J12"/>
  <c r="J33" s="1"/>
  <c r="J34" s="1"/>
  <c r="J35" s="1"/>
  <c r="E8" i="49"/>
  <c r="E6" i="51" s="1"/>
  <c r="E26" i="8"/>
  <c r="F27" i="9"/>
  <c r="F24" i="52" s="1"/>
  <c r="E25" i="8"/>
  <c r="E28" s="1"/>
  <c r="E32" s="1"/>
  <c r="E34" s="1"/>
  <c r="E35" s="1"/>
  <c r="E36" s="1"/>
  <c r="F24" i="9" s="1"/>
  <c r="F21" i="52" s="1"/>
  <c r="F23" s="1"/>
  <c r="F26" s="1"/>
  <c r="F27" s="1"/>
  <c r="F29" s="1"/>
  <c r="H13" i="8"/>
  <c r="H9"/>
  <c r="H27"/>
  <c r="L14" i="9"/>
  <c r="K10" i="52"/>
  <c r="K15" i="9"/>
  <c r="J19" i="52"/>
  <c r="K22" i="9"/>
  <c r="J23"/>
  <c r="J20" i="52" s="1"/>
  <c r="J32" i="38"/>
  <c r="J33" s="1"/>
  <c r="I22" i="35" s="1"/>
  <c r="C26" i="8"/>
  <c r="D16" i="9"/>
  <c r="C25" i="8"/>
  <c r="E26" i="9"/>
  <c r="E40"/>
  <c r="E41" s="1"/>
  <c r="D6" i="49" s="1"/>
  <c r="I13" i="8"/>
  <c r="H13" i="52"/>
  <c r="H14" s="1"/>
  <c r="H17" i="9"/>
  <c r="K59" i="52"/>
  <c r="K61" s="1"/>
  <c r="J61"/>
  <c r="H44" i="23"/>
  <c r="H54" s="1"/>
  <c r="N13" i="9"/>
  <c r="M9" i="52"/>
  <c r="M15"/>
  <c r="N18" i="9"/>
  <c r="P7" i="52"/>
  <c r="O8" i="8"/>
  <c r="G17" i="9"/>
  <c r="G13" i="52"/>
  <c r="G14" s="1"/>
  <c r="G38" i="53"/>
  <c r="H36" s="1"/>
  <c r="K33"/>
  <c r="M33" i="23"/>
  <c r="N31" s="1"/>
  <c r="M32"/>
  <c r="I24" i="53"/>
  <c r="J22" s="1"/>
  <c r="I23"/>
  <c r="I25" s="1"/>
  <c r="G7" i="50" s="1"/>
  <c r="M53" i="23"/>
  <c r="N51" s="1"/>
  <c r="M52"/>
  <c r="F19" i="38"/>
  <c r="F23" s="1"/>
  <c r="F24" s="1"/>
  <c r="F26" s="1"/>
  <c r="F36"/>
  <c r="D3" i="50" s="1"/>
  <c r="C10"/>
  <c r="B12"/>
  <c r="B15" s="1"/>
  <c r="B16" s="1"/>
  <c r="D37" i="38" s="1"/>
  <c r="D38" s="1"/>
  <c r="D39" s="1"/>
  <c r="G20"/>
  <c r="E5" i="50"/>
  <c r="F20" i="35"/>
  <c r="F21"/>
  <c r="J24" i="23"/>
  <c r="J25"/>
  <c r="K23" s="1"/>
  <c r="Q6" i="52"/>
  <c r="R10" i="9"/>
  <c r="Q11"/>
  <c r="Q12"/>
  <c r="Q8" i="52" s="1"/>
  <c r="K19" i="53"/>
  <c r="K20"/>
  <c r="L18" s="1"/>
  <c r="K15" i="38"/>
  <c r="K16" s="1"/>
  <c r="J16"/>
  <c r="F40" i="9"/>
  <c r="F41" s="1"/>
  <c r="E6" i="49" s="1"/>
  <c r="L6" i="38" l="1"/>
  <c r="M4"/>
  <c r="I11" i="35"/>
  <c r="I6"/>
  <c r="I9"/>
  <c r="I7"/>
  <c r="H19"/>
  <c r="H25"/>
  <c r="H12"/>
  <c r="I8" i="38" s="1"/>
  <c r="I10" s="1"/>
  <c r="I35" s="1"/>
  <c r="F26" i="9"/>
  <c r="J36" i="52"/>
  <c r="I27" i="8"/>
  <c r="K30" i="38"/>
  <c r="K31" s="1"/>
  <c r="K32" s="1"/>
  <c r="K33" s="1"/>
  <c r="J22" i="35" s="1"/>
  <c r="J5"/>
  <c r="K18" i="38"/>
  <c r="L48" i="23"/>
  <c r="L49"/>
  <c r="M47" s="1"/>
  <c r="M48" s="1"/>
  <c r="M49" s="1"/>
  <c r="N47" s="1"/>
  <c r="H45"/>
  <c r="K23" i="9"/>
  <c r="K20" i="52" s="1"/>
  <c r="K19"/>
  <c r="K12"/>
  <c r="K33" s="1"/>
  <c r="K34" s="1"/>
  <c r="K35" s="1"/>
  <c r="K36" s="1"/>
  <c r="K35" i="9"/>
  <c r="K36" s="1"/>
  <c r="K37" s="1"/>
  <c r="K25"/>
  <c r="K22" i="52" s="1"/>
  <c r="M14" i="9"/>
  <c r="L10" i="52"/>
  <c r="L15" i="9"/>
  <c r="H24" i="8"/>
  <c r="H30"/>
  <c r="H14"/>
  <c r="I16" i="9" s="1"/>
  <c r="I13" i="52" s="1"/>
  <c r="I14" s="1"/>
  <c r="H29" i="23"/>
  <c r="I27" s="1"/>
  <c r="D16" i="49"/>
  <c r="D12"/>
  <c r="C28" i="8"/>
  <c r="C32" s="1"/>
  <c r="C34" s="1"/>
  <c r="C35" s="1"/>
  <c r="C36" s="1"/>
  <c r="D24" i="9" s="1"/>
  <c r="D21" i="52" s="1"/>
  <c r="D13"/>
  <c r="D14" s="1"/>
  <c r="D17" i="9"/>
  <c r="N48" i="23"/>
  <c r="N49"/>
  <c r="O47" s="1"/>
  <c r="L19" i="53"/>
  <c r="L20" s="1"/>
  <c r="M18" s="1"/>
  <c r="S10" i="9"/>
  <c r="R11"/>
  <c r="R12"/>
  <c r="R8" i="52" s="1"/>
  <c r="R6"/>
  <c r="K24" i="23"/>
  <c r="N52"/>
  <c r="N53" s="1"/>
  <c r="O51" s="1"/>
  <c r="J23" i="53"/>
  <c r="J25" s="1"/>
  <c r="H7" i="50" s="1"/>
  <c r="N32" i="23"/>
  <c r="N33" s="1"/>
  <c r="O31" s="1"/>
  <c r="H37" i="53"/>
  <c r="H39" s="1"/>
  <c r="G40" i="9"/>
  <c r="N15" i="52"/>
  <c r="O18" i="9"/>
  <c r="I17"/>
  <c r="O13"/>
  <c r="N9" i="52"/>
  <c r="G27" i="9"/>
  <c r="G24" i="52" s="1"/>
  <c r="F8" i="49"/>
  <c r="F6" i="51" s="1"/>
  <c r="F26" i="8"/>
  <c r="F25"/>
  <c r="B62" i="52"/>
  <c r="Q7"/>
  <c r="P8" i="8"/>
  <c r="C12" i="50"/>
  <c r="C15" s="1"/>
  <c r="C16" s="1"/>
  <c r="E37" i="38" s="1"/>
  <c r="E38" s="1"/>
  <c r="E39" s="1"/>
  <c r="D13" i="50"/>
  <c r="D9"/>
  <c r="D10" s="1"/>
  <c r="D12" s="1"/>
  <c r="H55" i="23"/>
  <c r="I43"/>
  <c r="H40" i="9"/>
  <c r="I14" i="8"/>
  <c r="I24"/>
  <c r="I30"/>
  <c r="F23" i="35"/>
  <c r="F27" s="1"/>
  <c r="F29" s="1"/>
  <c r="F30" s="1"/>
  <c r="F31" s="1"/>
  <c r="G17" i="38" s="1"/>
  <c r="K34" i="53"/>
  <c r="L32" s="1"/>
  <c r="P11" i="52"/>
  <c r="E12" i="49"/>
  <c r="E16"/>
  <c r="L18" i="38" l="1"/>
  <c r="L30"/>
  <c r="L31" s="1"/>
  <c r="L32" s="1"/>
  <c r="L33" s="1"/>
  <c r="K22" i="35" s="1"/>
  <c r="K5"/>
  <c r="K38" i="9"/>
  <c r="J27" i="8" s="1"/>
  <c r="J9" i="35"/>
  <c r="J11"/>
  <c r="J6"/>
  <c r="J7"/>
  <c r="I25"/>
  <c r="I19"/>
  <c r="I12"/>
  <c r="J8" i="38" s="1"/>
  <c r="J10" s="1"/>
  <c r="J35" s="1"/>
  <c r="N4"/>
  <c r="M6"/>
  <c r="J9" i="8"/>
  <c r="J30" s="1"/>
  <c r="I28" i="23"/>
  <c r="I34" s="1"/>
  <c r="G10" i="49" s="1"/>
  <c r="G8" i="51" s="1"/>
  <c r="L25" i="9"/>
  <c r="L22" i="52" s="1"/>
  <c r="L35" i="9"/>
  <c r="L12" i="52"/>
  <c r="L33" s="1"/>
  <c r="N14" i="9"/>
  <c r="M10" i="52"/>
  <c r="M15" i="9"/>
  <c r="F28" i="8"/>
  <c r="F32" s="1"/>
  <c r="F34" s="1"/>
  <c r="F35" s="1"/>
  <c r="F36" s="1"/>
  <c r="G24" i="9" s="1"/>
  <c r="G21" i="52" s="1"/>
  <c r="G23" s="1"/>
  <c r="G26" s="1"/>
  <c r="G27" s="1"/>
  <c r="G29" s="1"/>
  <c r="D15" i="50"/>
  <c r="D16" s="1"/>
  <c r="F37" i="38" s="1"/>
  <c r="F38" s="1"/>
  <c r="F39" s="1"/>
  <c r="D23" i="52"/>
  <c r="D26" s="1"/>
  <c r="D27" s="1"/>
  <c r="D29" s="1"/>
  <c r="D26" i="9"/>
  <c r="D40"/>
  <c r="D41" s="1"/>
  <c r="C6" i="49" s="1"/>
  <c r="O32" i="23"/>
  <c r="O33" s="1"/>
  <c r="P31" s="1"/>
  <c r="M19" i="53"/>
  <c r="M20"/>
  <c r="N18" s="1"/>
  <c r="L33"/>
  <c r="L34" s="1"/>
  <c r="M32" s="1"/>
  <c r="J16" i="9"/>
  <c r="I44" i="23"/>
  <c r="I54" s="1"/>
  <c r="O11" i="52"/>
  <c r="E11"/>
  <c r="E38" s="1"/>
  <c r="E39" s="1"/>
  <c r="D4" i="51" s="1"/>
  <c r="Q11" i="52"/>
  <c r="I11"/>
  <c r="I38" s="1"/>
  <c r="K11"/>
  <c r="F11"/>
  <c r="F38" s="1"/>
  <c r="F39" s="1"/>
  <c r="E4" i="51" s="1"/>
  <c r="M11" i="52"/>
  <c r="G11"/>
  <c r="G38" s="1"/>
  <c r="D11"/>
  <c r="D38" s="1"/>
  <c r="D39" s="1"/>
  <c r="C4" i="51" s="1"/>
  <c r="H11" i="52"/>
  <c r="H38" s="1"/>
  <c r="J11"/>
  <c r="L11"/>
  <c r="N11"/>
  <c r="I40" i="9"/>
  <c r="O15" i="52"/>
  <c r="P18" i="9"/>
  <c r="R7" i="52"/>
  <c r="R11" s="1"/>
  <c r="Q8" i="8"/>
  <c r="H38" i="53"/>
  <c r="I36" s="1"/>
  <c r="J24"/>
  <c r="K22" s="1"/>
  <c r="K25" i="23"/>
  <c r="L23" s="1"/>
  <c r="G19" i="38"/>
  <c r="G23" s="1"/>
  <c r="G24" s="1"/>
  <c r="G26" s="1"/>
  <c r="G36"/>
  <c r="E3" i="50" s="1"/>
  <c r="P13" i="9"/>
  <c r="O9" i="52"/>
  <c r="F5" i="50"/>
  <c r="H20" i="38"/>
  <c r="G20" i="35"/>
  <c r="G21"/>
  <c r="O52" i="23"/>
  <c r="O53" s="1"/>
  <c r="P51" s="1"/>
  <c r="S12" i="9"/>
  <c r="S8" i="52" s="1"/>
  <c r="S6"/>
  <c r="S11" i="9"/>
  <c r="T10"/>
  <c r="J24" i="8"/>
  <c r="O48" i="23"/>
  <c r="O49" s="1"/>
  <c r="P47" s="1"/>
  <c r="M30" i="38" l="1"/>
  <c r="M31" s="1"/>
  <c r="M32" s="1"/>
  <c r="M33" s="1"/>
  <c r="L22" i="35" s="1"/>
  <c r="L5"/>
  <c r="M18" i="38"/>
  <c r="J12" i="35"/>
  <c r="K8" i="38" s="1"/>
  <c r="K10" s="1"/>
  <c r="K35" s="1"/>
  <c r="J25" i="35"/>
  <c r="J19"/>
  <c r="K6"/>
  <c r="K11"/>
  <c r="K9"/>
  <c r="K7"/>
  <c r="J13" i="8"/>
  <c r="J14" s="1"/>
  <c r="K16" i="9" s="1"/>
  <c r="O4" i="38"/>
  <c r="N6"/>
  <c r="M35" i="9"/>
  <c r="M36" s="1"/>
  <c r="M37" s="1"/>
  <c r="M12" i="52"/>
  <c r="M33" s="1"/>
  <c r="M34" s="1"/>
  <c r="M35" s="1"/>
  <c r="M25" i="9"/>
  <c r="M22" i="52" s="1"/>
  <c r="N10"/>
  <c r="O14" i="9"/>
  <c r="N15"/>
  <c r="L36"/>
  <c r="L37" s="1"/>
  <c r="I45" i="23"/>
  <c r="I29"/>
  <c r="J27" s="1"/>
  <c r="J28" s="1"/>
  <c r="L34" i="52"/>
  <c r="L35" s="1"/>
  <c r="G26" i="9"/>
  <c r="G41"/>
  <c r="F6" i="49" s="1"/>
  <c r="F16" s="1"/>
  <c r="G39" i="52"/>
  <c r="F4" i="51" s="1"/>
  <c r="F10" s="1"/>
  <c r="C16" i="49"/>
  <c r="C12"/>
  <c r="C13" s="1"/>
  <c r="P48" i="23"/>
  <c r="P49"/>
  <c r="Q47" s="1"/>
  <c r="P52"/>
  <c r="P53"/>
  <c r="Q51" s="1"/>
  <c r="P32"/>
  <c r="P33" s="1"/>
  <c r="Q31" s="1"/>
  <c r="T12" i="9"/>
  <c r="T8" i="52" s="1"/>
  <c r="T6"/>
  <c r="T11" i="9"/>
  <c r="U10"/>
  <c r="S7" i="52"/>
  <c r="S11" s="1"/>
  <c r="R8" i="8"/>
  <c r="E13" i="50"/>
  <c r="E9"/>
  <c r="E10" s="1"/>
  <c r="L24" i="23"/>
  <c r="I37" i="53"/>
  <c r="I39" s="1"/>
  <c r="D10" i="51"/>
  <c r="D14"/>
  <c r="H27" i="9"/>
  <c r="H24" i="52" s="1"/>
  <c r="G8" i="49"/>
  <c r="G6" i="51" s="1"/>
  <c r="G25" i="8"/>
  <c r="G26"/>
  <c r="J17" i="9"/>
  <c r="J13" i="52"/>
  <c r="J14" s="1"/>
  <c r="J38" s="1"/>
  <c r="G23" i="35"/>
  <c r="G27" s="1"/>
  <c r="G29" s="1"/>
  <c r="G30" s="1"/>
  <c r="G31" s="1"/>
  <c r="H17" i="38" s="1"/>
  <c r="Q13" i="9"/>
  <c r="P9" i="52"/>
  <c r="K23" i="53"/>
  <c r="K25" s="1"/>
  <c r="I7" i="50" s="1"/>
  <c r="P15" i="52"/>
  <c r="Q18" i="9"/>
  <c r="C10" i="51"/>
  <c r="C11" s="1"/>
  <c r="C14"/>
  <c r="E14"/>
  <c r="E10"/>
  <c r="J43" i="23"/>
  <c r="I55"/>
  <c r="M33" i="53"/>
  <c r="M34" s="1"/>
  <c r="N32" s="1"/>
  <c r="N19"/>
  <c r="M38" i="9" l="1"/>
  <c r="L13" i="8" s="1"/>
  <c r="N18" i="38"/>
  <c r="M5" i="35"/>
  <c r="N30" i="38"/>
  <c r="N31" s="1"/>
  <c r="N32" s="1"/>
  <c r="N33" s="1"/>
  <c r="M22" i="35" s="1"/>
  <c r="K25"/>
  <c r="K12"/>
  <c r="L8" i="38" s="1"/>
  <c r="L10" s="1"/>
  <c r="L35" s="1"/>
  <c r="K19" i="35"/>
  <c r="P4" i="38"/>
  <c r="O6"/>
  <c r="L9" i="35"/>
  <c r="L7"/>
  <c r="L6"/>
  <c r="L11"/>
  <c r="L27" i="8"/>
  <c r="F12" i="49"/>
  <c r="L9" i="8"/>
  <c r="L14" s="1"/>
  <c r="M36" i="52"/>
  <c r="O10"/>
  <c r="P14" i="9"/>
  <c r="O15"/>
  <c r="L38"/>
  <c r="J29" i="23"/>
  <c r="K27" s="1"/>
  <c r="K28" s="1"/>
  <c r="J34"/>
  <c r="H10" i="49" s="1"/>
  <c r="H8" i="51" s="1"/>
  <c r="N35" i="9"/>
  <c r="N36" s="1"/>
  <c r="N37" s="1"/>
  <c r="N38" s="1"/>
  <c r="M9" i="8" s="1"/>
  <c r="N25" i="9"/>
  <c r="N22" i="52" s="1"/>
  <c r="N12"/>
  <c r="N33" s="1"/>
  <c r="N34" s="1"/>
  <c r="N35" s="1"/>
  <c r="N36" s="1"/>
  <c r="L25" i="23"/>
  <c r="M23" s="1"/>
  <c r="L36" i="52"/>
  <c r="G28" i="8"/>
  <c r="G32" s="1"/>
  <c r="G34" s="1"/>
  <c r="G35" s="1"/>
  <c r="G36" s="1"/>
  <c r="H24" i="9" s="1"/>
  <c r="F14" i="51"/>
  <c r="D13" i="49"/>
  <c r="C15"/>
  <c r="C18" s="1"/>
  <c r="C19" s="1"/>
  <c r="D42" i="9" s="1"/>
  <c r="D43" s="1"/>
  <c r="N33" i="53"/>
  <c r="N34" s="1"/>
  <c r="O32" s="1"/>
  <c r="Q32" i="23"/>
  <c r="Q33"/>
  <c r="R31" s="1"/>
  <c r="J44"/>
  <c r="J54" s="1"/>
  <c r="R18" i="9"/>
  <c r="Q15" i="52"/>
  <c r="K17" i="9"/>
  <c r="K13" i="52"/>
  <c r="K14" s="1"/>
  <c r="H19" i="38"/>
  <c r="H23" s="1"/>
  <c r="H24" s="1"/>
  <c r="H26" s="1"/>
  <c r="H36"/>
  <c r="F3" i="50" s="1"/>
  <c r="E12"/>
  <c r="E15" s="1"/>
  <c r="E16" s="1"/>
  <c r="G37" i="38" s="1"/>
  <c r="G38" s="1"/>
  <c r="G39" s="1"/>
  <c r="S8" i="8"/>
  <c r="T7" i="52"/>
  <c r="T11" s="1"/>
  <c r="N20" i="53"/>
  <c r="O18" s="1"/>
  <c r="K24"/>
  <c r="L22" s="1"/>
  <c r="I38"/>
  <c r="J36" s="1"/>
  <c r="C13" i="51"/>
  <c r="C16" s="1"/>
  <c r="C17" s="1"/>
  <c r="D40" i="52" s="1"/>
  <c r="D41" s="1"/>
  <c r="D43" s="1"/>
  <c r="D44" s="1"/>
  <c r="D11" i="51"/>
  <c r="R13" i="9"/>
  <c r="Q9" i="52"/>
  <c r="J40" i="9"/>
  <c r="H21" i="52"/>
  <c r="H26" i="9"/>
  <c r="H41"/>
  <c r="G6" i="49" s="1"/>
  <c r="I20" i="38"/>
  <c r="G5" i="50"/>
  <c r="H21" i="35"/>
  <c r="H20"/>
  <c r="M24" i="23"/>
  <c r="M25"/>
  <c r="N23" s="1"/>
  <c r="U6" i="52"/>
  <c r="V10" i="9"/>
  <c r="U12"/>
  <c r="U8" i="52" s="1"/>
  <c r="U11" i="9"/>
  <c r="Q52" i="23"/>
  <c r="Q53" s="1"/>
  <c r="R51" s="1"/>
  <c r="Q48"/>
  <c r="Q49" s="1"/>
  <c r="R47" s="1"/>
  <c r="L24" i="8" l="1"/>
  <c r="L30"/>
  <c r="M13"/>
  <c r="L19" i="35"/>
  <c r="L12"/>
  <c r="M8" i="38" s="1"/>
  <c r="M10" s="1"/>
  <c r="M35" s="1"/>
  <c r="L25" i="35"/>
  <c r="P6" i="38"/>
  <c r="Q4"/>
  <c r="N5" i="35"/>
  <c r="O30" i="38"/>
  <c r="O31" s="1"/>
  <c r="O32" s="1"/>
  <c r="O33" s="1"/>
  <c r="N22" i="35" s="1"/>
  <c r="O18" i="38"/>
  <c r="M7" i="35"/>
  <c r="M9"/>
  <c r="M6"/>
  <c r="M11"/>
  <c r="M27" i="8"/>
  <c r="K13"/>
  <c r="K9"/>
  <c r="K27"/>
  <c r="O12" i="52"/>
  <c r="O33" s="1"/>
  <c r="O34" s="1"/>
  <c r="O25" i="9"/>
  <c r="O22" i="52" s="1"/>
  <c r="O35" i="9"/>
  <c r="O36" s="1"/>
  <c r="O37" s="1"/>
  <c r="O38" s="1"/>
  <c r="N27" i="8" s="1"/>
  <c r="K29" i="23"/>
  <c r="L27" s="1"/>
  <c r="L28" s="1"/>
  <c r="K34"/>
  <c r="I10" i="49" s="1"/>
  <c r="I8" i="51" s="1"/>
  <c r="Q14" i="9"/>
  <c r="P10" i="52"/>
  <c r="P15" i="9"/>
  <c r="H23" i="35"/>
  <c r="H27" s="1"/>
  <c r="H29" s="1"/>
  <c r="H30" s="1"/>
  <c r="H31" s="1"/>
  <c r="I17" i="38" s="1"/>
  <c r="I19" s="1"/>
  <c r="I23" s="1"/>
  <c r="I24" s="1"/>
  <c r="I26" s="1"/>
  <c r="D15" i="49"/>
  <c r="D18" s="1"/>
  <c r="D19" s="1"/>
  <c r="E42" i="9" s="1"/>
  <c r="E43" s="1"/>
  <c r="E13" i="49"/>
  <c r="O33" i="53"/>
  <c r="O34" s="1"/>
  <c r="P32" s="1"/>
  <c r="R48" i="23"/>
  <c r="R49" s="1"/>
  <c r="S47" s="1"/>
  <c r="T8" i="8"/>
  <c r="U7" i="52"/>
  <c r="U11" s="1"/>
  <c r="W10" i="9"/>
  <c r="V6" i="52"/>
  <c r="V11" i="9"/>
  <c r="V12"/>
  <c r="V8" i="52" s="1"/>
  <c r="N24" i="23"/>
  <c r="N25"/>
  <c r="O23" s="1"/>
  <c r="G12" i="49"/>
  <c r="G16"/>
  <c r="H23" i="52"/>
  <c r="H26" s="1"/>
  <c r="H27" s="1"/>
  <c r="H29" s="1"/>
  <c r="H39"/>
  <c r="G4" i="51" s="1"/>
  <c r="E11"/>
  <c r="D13"/>
  <c r="D16" s="1"/>
  <c r="D17" s="1"/>
  <c r="E40" i="52" s="1"/>
  <c r="E41" s="1"/>
  <c r="E43" s="1"/>
  <c r="E44" s="1"/>
  <c r="O19" i="53"/>
  <c r="O20" s="1"/>
  <c r="P18" s="1"/>
  <c r="K40" i="9"/>
  <c r="J45" i="23"/>
  <c r="R52"/>
  <c r="R53" s="1"/>
  <c r="S51" s="1"/>
  <c r="M16" i="9"/>
  <c r="S13"/>
  <c r="R9" i="52"/>
  <c r="J37" i="53"/>
  <c r="J39" s="1"/>
  <c r="L23"/>
  <c r="L25" s="1"/>
  <c r="J7" i="50" s="1"/>
  <c r="F13"/>
  <c r="F9"/>
  <c r="F10" s="1"/>
  <c r="K38" i="52"/>
  <c r="M14" i="8"/>
  <c r="M30"/>
  <c r="M24"/>
  <c r="R15" i="52"/>
  <c r="S18" i="9"/>
  <c r="I27"/>
  <c r="I24" i="52" s="1"/>
  <c r="H8" i="49"/>
  <c r="H6" i="51" s="1"/>
  <c r="H25" i="8"/>
  <c r="H26"/>
  <c r="R32" i="23"/>
  <c r="R33" s="1"/>
  <c r="S31" s="1"/>
  <c r="N13" i="8" l="1"/>
  <c r="N9"/>
  <c r="N30" s="1"/>
  <c r="O35" i="52"/>
  <c r="O36" s="1"/>
  <c r="M12" i="35"/>
  <c r="N8" i="38" s="1"/>
  <c r="N10" s="1"/>
  <c r="N35" s="1"/>
  <c r="M19" i="35"/>
  <c r="M25"/>
  <c r="R4" i="38"/>
  <c r="Q6"/>
  <c r="N11" i="35"/>
  <c r="N7"/>
  <c r="N9"/>
  <c r="N6"/>
  <c r="P18" i="38"/>
  <c r="O5" i="35"/>
  <c r="P30" i="38"/>
  <c r="P31" s="1"/>
  <c r="P32" s="1"/>
  <c r="P33" s="1"/>
  <c r="O22" i="35" s="1"/>
  <c r="P25" i="9"/>
  <c r="P22" i="52" s="1"/>
  <c r="P12"/>
  <c r="P33" s="1"/>
  <c r="P34" s="1"/>
  <c r="P35" s="1"/>
  <c r="P35" i="9"/>
  <c r="P36" s="1"/>
  <c r="P37" s="1"/>
  <c r="P38" s="1"/>
  <c r="O27" i="8" s="1"/>
  <c r="R14" i="9"/>
  <c r="Q10" i="52"/>
  <c r="Q15" i="9"/>
  <c r="L29" i="23"/>
  <c r="M27" s="1"/>
  <c r="M28" s="1"/>
  <c r="L34"/>
  <c r="J10" i="49" s="1"/>
  <c r="J8" i="51" s="1"/>
  <c r="K14" i="8"/>
  <c r="L16" i="9" s="1"/>
  <c r="K30" i="8"/>
  <c r="K24"/>
  <c r="J38" i="53"/>
  <c r="K36" s="1"/>
  <c r="I36" i="38"/>
  <c r="G3" i="50" s="1"/>
  <c r="G9" s="1"/>
  <c r="G10" s="1"/>
  <c r="G12" s="1"/>
  <c r="H28" i="8"/>
  <c r="H32" s="1"/>
  <c r="H34" s="1"/>
  <c r="H35" s="1"/>
  <c r="H36" s="1"/>
  <c r="I24" i="9" s="1"/>
  <c r="I21" i="52" s="1"/>
  <c r="E15" i="49"/>
  <c r="E18" s="1"/>
  <c r="E19" s="1"/>
  <c r="F42" i="9" s="1"/>
  <c r="F43" s="1"/>
  <c r="F13" i="49"/>
  <c r="F15" s="1"/>
  <c r="F18" s="1"/>
  <c r="F19" s="1"/>
  <c r="G42" i="9" s="1"/>
  <c r="G43" s="1"/>
  <c r="S48" i="23"/>
  <c r="S49" s="1"/>
  <c r="T47" s="1"/>
  <c r="P33" i="53"/>
  <c r="P34" s="1"/>
  <c r="Q32" s="1"/>
  <c r="S32" i="23"/>
  <c r="S33" s="1"/>
  <c r="T31" s="1"/>
  <c r="T18" i="9"/>
  <c r="S15" i="52"/>
  <c r="N16" i="9"/>
  <c r="F12" i="50"/>
  <c r="F15" s="1"/>
  <c r="F16" s="1"/>
  <c r="H37" i="38" s="1"/>
  <c r="H38" s="1"/>
  <c r="H39" s="1"/>
  <c r="J20"/>
  <c r="H5" i="50"/>
  <c r="I21" i="35"/>
  <c r="I20"/>
  <c r="K43" i="23"/>
  <c r="J55"/>
  <c r="V7" i="52"/>
  <c r="V11" s="1"/>
  <c r="U8" i="8"/>
  <c r="W11" i="9"/>
  <c r="X10"/>
  <c r="W12"/>
  <c r="W8" i="52" s="1"/>
  <c r="W6"/>
  <c r="L24" i="53"/>
  <c r="M22" s="1"/>
  <c r="N14" i="8"/>
  <c r="N24"/>
  <c r="K37" i="53"/>
  <c r="K39" s="1"/>
  <c r="T13" i="9"/>
  <c r="S9" i="52"/>
  <c r="M17" i="9"/>
  <c r="M13" i="52"/>
  <c r="M14" s="1"/>
  <c r="S52" i="23"/>
  <c r="S53" s="1"/>
  <c r="T51" s="1"/>
  <c r="P19" i="53"/>
  <c r="P20" s="1"/>
  <c r="Q18" s="1"/>
  <c r="F11" i="51"/>
  <c r="E13"/>
  <c r="E16" s="1"/>
  <c r="E17" s="1"/>
  <c r="F40" i="52" s="1"/>
  <c r="F41" s="1"/>
  <c r="F43" s="1"/>
  <c r="F44" s="1"/>
  <c r="G10" i="51"/>
  <c r="G14"/>
  <c r="O24" i="23"/>
  <c r="O13" i="8" l="1"/>
  <c r="O9"/>
  <c r="O14" s="1"/>
  <c r="O11" i="35"/>
  <c r="O6"/>
  <c r="O9"/>
  <c r="O7"/>
  <c r="N25"/>
  <c r="N12"/>
  <c r="O8" i="38" s="1"/>
  <c r="O10" s="1"/>
  <c r="O35" s="1"/>
  <c r="N19" i="35"/>
  <c r="Q18" i="38"/>
  <c r="P5" i="35"/>
  <c r="Q30" i="38"/>
  <c r="Q31" s="1"/>
  <c r="Q32" s="1"/>
  <c r="S4"/>
  <c r="R6"/>
  <c r="I26" i="9"/>
  <c r="P36" i="52"/>
  <c r="L17" i="9"/>
  <c r="L40" s="1"/>
  <c r="L13" i="52"/>
  <c r="L14" s="1"/>
  <c r="L38" s="1"/>
  <c r="M29" i="23"/>
  <c r="N27" s="1"/>
  <c r="N28" s="1"/>
  <c r="M34"/>
  <c r="K10" i="49" s="1"/>
  <c r="K8" i="51" s="1"/>
  <c r="Q25" i="9"/>
  <c r="Q22" i="52" s="1"/>
  <c r="Q12"/>
  <c r="Q33" s="1"/>
  <c r="Q34" s="1"/>
  <c r="Q35" s="1"/>
  <c r="Q36" s="1"/>
  <c r="Q35" i="9"/>
  <c r="Q36" s="1"/>
  <c r="Q37" s="1"/>
  <c r="Q38" s="1"/>
  <c r="R10" i="52"/>
  <c r="S14" i="9"/>
  <c r="R15"/>
  <c r="G13" i="50"/>
  <c r="G13" i="49"/>
  <c r="G15" s="1"/>
  <c r="G18" s="1"/>
  <c r="G19" s="1"/>
  <c r="H42" i="9" s="1"/>
  <c r="H43" s="1"/>
  <c r="I41"/>
  <c r="H6" i="49" s="1"/>
  <c r="H16" s="1"/>
  <c r="Q33" i="38"/>
  <c r="P22" i="35" s="1"/>
  <c r="I23"/>
  <c r="I27" s="1"/>
  <c r="I29" s="1"/>
  <c r="I30" s="1"/>
  <c r="I31" s="1"/>
  <c r="J17" i="38" s="1"/>
  <c r="J36" s="1"/>
  <c r="H3" i="50" s="1"/>
  <c r="T52" i="23"/>
  <c r="T53"/>
  <c r="U51" s="1"/>
  <c r="F13" i="51"/>
  <c r="F16" s="1"/>
  <c r="F17" s="1"/>
  <c r="G40" i="52" s="1"/>
  <c r="G41" s="1"/>
  <c r="G43" s="1"/>
  <c r="G44" s="1"/>
  <c r="G11" i="51"/>
  <c r="Q19" i="53"/>
  <c r="Q20"/>
  <c r="R18" s="1"/>
  <c r="M38" i="52"/>
  <c r="T9"/>
  <c r="U13" i="9"/>
  <c r="M40"/>
  <c r="I23" i="52"/>
  <c r="I26" s="1"/>
  <c r="I27" s="1"/>
  <c r="I29" s="1"/>
  <c r="I39"/>
  <c r="H4" i="51" s="1"/>
  <c r="X6" i="52"/>
  <c r="X12" i="9"/>
  <c r="X8" i="52" s="1"/>
  <c r="X11" i="9"/>
  <c r="N13" i="52"/>
  <c r="N14" s="1"/>
  <c r="N17" i="9"/>
  <c r="O25" i="23"/>
  <c r="P23" s="1"/>
  <c r="K38" i="53"/>
  <c r="L36" s="1"/>
  <c r="I5" i="50"/>
  <c r="K20" i="38"/>
  <c r="J21" i="35"/>
  <c r="J20"/>
  <c r="O16" i="9"/>
  <c r="M23" i="53"/>
  <c r="M25" s="1"/>
  <c r="K7" i="50" s="1"/>
  <c r="W7" i="52"/>
  <c r="W11" s="1"/>
  <c r="V8" i="8"/>
  <c r="O30"/>
  <c r="K44" i="23"/>
  <c r="K54" s="1"/>
  <c r="P9" i="8"/>
  <c r="P27"/>
  <c r="P13"/>
  <c r="T15" i="52"/>
  <c r="U18" i="9"/>
  <c r="T32" i="23"/>
  <c r="T33" s="1"/>
  <c r="U31" s="1"/>
  <c r="Q33" i="53"/>
  <c r="Q34" s="1"/>
  <c r="R32" s="1"/>
  <c r="T48" i="23"/>
  <c r="T49" s="1"/>
  <c r="U47" s="1"/>
  <c r="G15" i="50"/>
  <c r="G16" s="1"/>
  <c r="I37" i="38" s="1"/>
  <c r="I38" s="1"/>
  <c r="I39" s="1"/>
  <c r="O24" i="8" l="1"/>
  <c r="S6" i="38"/>
  <c r="T4"/>
  <c r="P9" i="35"/>
  <c r="P6"/>
  <c r="P11"/>
  <c r="P7"/>
  <c r="R18" i="38"/>
  <c r="R30"/>
  <c r="R31" s="1"/>
  <c r="R32" s="1"/>
  <c r="R33" s="1"/>
  <c r="Q22" i="35" s="1"/>
  <c r="Q5"/>
  <c r="O25"/>
  <c r="O19"/>
  <c r="O12"/>
  <c r="P8" i="38" s="1"/>
  <c r="P10" s="1"/>
  <c r="P35" s="1"/>
  <c r="S10" i="52"/>
  <c r="T14" i="9"/>
  <c r="S15"/>
  <c r="N29" i="23"/>
  <c r="O27" s="1"/>
  <c r="N34"/>
  <c r="L10" i="49" s="1"/>
  <c r="L8" i="51" s="1"/>
  <c r="R12" i="52"/>
  <c r="R33" s="1"/>
  <c r="R34" s="1"/>
  <c r="R35" s="1"/>
  <c r="R35" i="9"/>
  <c r="R36" s="1"/>
  <c r="R37" s="1"/>
  <c r="R38" s="1"/>
  <c r="Q13" i="8" s="1"/>
  <c r="R25" i="9"/>
  <c r="R22" i="52" s="1"/>
  <c r="J19" i="38"/>
  <c r="J23" s="1"/>
  <c r="J24" s="1"/>
  <c r="J26" s="1"/>
  <c r="H12" i="49"/>
  <c r="H13" s="1"/>
  <c r="H15" s="1"/>
  <c r="H18" s="1"/>
  <c r="H19" s="1"/>
  <c r="I42" i="9" s="1"/>
  <c r="I43" s="1"/>
  <c r="J23" i="35"/>
  <c r="J27" s="1"/>
  <c r="J29" s="1"/>
  <c r="J30" s="1"/>
  <c r="J31" s="1"/>
  <c r="K17" i="38" s="1"/>
  <c r="R36" i="52"/>
  <c r="U48" i="23"/>
  <c r="U49"/>
  <c r="V47" s="1"/>
  <c r="U32"/>
  <c r="U33"/>
  <c r="V31" s="1"/>
  <c r="R33" i="53"/>
  <c r="R34"/>
  <c r="S32" s="1"/>
  <c r="Q27" i="8"/>
  <c r="V18" i="9"/>
  <c r="U15" i="52"/>
  <c r="P16" i="9"/>
  <c r="L37" i="53"/>
  <c r="L39" s="1"/>
  <c r="N38" i="52"/>
  <c r="H10" i="51"/>
  <c r="H11" s="1"/>
  <c r="H14"/>
  <c r="K45" i="23"/>
  <c r="M24" i="53"/>
  <c r="N22" s="1"/>
  <c r="H9" i="50"/>
  <c r="H10" s="1"/>
  <c r="H12" s="1"/>
  <c r="H13"/>
  <c r="P14" i="8"/>
  <c r="P30"/>
  <c r="P24"/>
  <c r="J27" i="9"/>
  <c r="J24" i="52" s="1"/>
  <c r="I8" i="49"/>
  <c r="I6" i="51" s="1"/>
  <c r="I25" i="8"/>
  <c r="I26"/>
  <c r="O17" i="9"/>
  <c r="O13" i="52"/>
  <c r="O14" s="1"/>
  <c r="P24" i="23"/>
  <c r="N40" i="9"/>
  <c r="X7" i="52"/>
  <c r="X11" s="1"/>
  <c r="W8" i="8"/>
  <c r="U9" i="52"/>
  <c r="V13" i="9"/>
  <c r="R19" i="53"/>
  <c r="R20" s="1"/>
  <c r="S18" s="1"/>
  <c r="G13" i="51"/>
  <c r="G16" s="1"/>
  <c r="G17" s="1"/>
  <c r="H40" i="52" s="1"/>
  <c r="H41" s="1"/>
  <c r="H43" s="1"/>
  <c r="H44" s="1"/>
  <c r="U53" i="23"/>
  <c r="V51" s="1"/>
  <c r="U52"/>
  <c r="Q9" i="8" l="1"/>
  <c r="Q7" i="35"/>
  <c r="Q11"/>
  <c r="Q9"/>
  <c r="Q6"/>
  <c r="S30" i="38"/>
  <c r="S31" s="1"/>
  <c r="S32" s="1"/>
  <c r="R5" i="35"/>
  <c r="S18" i="38"/>
  <c r="P19" i="35"/>
  <c r="P12"/>
  <c r="Q8" i="38" s="1"/>
  <c r="Q10" s="1"/>
  <c r="Q35" s="1"/>
  <c r="P25" i="35"/>
  <c r="U4" i="38"/>
  <c r="T6"/>
  <c r="O29" i="23"/>
  <c r="P27" s="1"/>
  <c r="P28" s="1"/>
  <c r="P29" s="1"/>
  <c r="Q27" s="1"/>
  <c r="O28"/>
  <c r="O34" s="1"/>
  <c r="M10" i="49" s="1"/>
  <c r="M8" i="51" s="1"/>
  <c r="T10" i="52"/>
  <c r="U14" i="9"/>
  <c r="T15"/>
  <c r="S12" i="52"/>
  <c r="S33" s="1"/>
  <c r="S34" s="1"/>
  <c r="S35" s="1"/>
  <c r="S36" s="1"/>
  <c r="S35" i="9"/>
  <c r="S36" s="1"/>
  <c r="S37" s="1"/>
  <c r="S38" s="1"/>
  <c r="R13" i="8" s="1"/>
  <c r="S25" i="9"/>
  <c r="S22" i="52" s="1"/>
  <c r="P34" i="23"/>
  <c r="N10" i="49" s="1"/>
  <c r="N8" i="51" s="1"/>
  <c r="I28" i="8"/>
  <c r="I32" s="1"/>
  <c r="I34" s="1"/>
  <c r="I35" s="1"/>
  <c r="I36" s="1"/>
  <c r="J24" i="9" s="1"/>
  <c r="J21" i="52" s="1"/>
  <c r="K19" i="38"/>
  <c r="K23" s="1"/>
  <c r="K24" s="1"/>
  <c r="K26" s="1"/>
  <c r="K36"/>
  <c r="I3" i="50" s="1"/>
  <c r="S19" i="53"/>
  <c r="S20" s="1"/>
  <c r="T18" s="1"/>
  <c r="V52" i="23"/>
  <c r="V53" s="1"/>
  <c r="W51" s="1"/>
  <c r="O38" i="52"/>
  <c r="Q16" i="9"/>
  <c r="P17"/>
  <c r="P13" i="52"/>
  <c r="P14" s="1"/>
  <c r="Q14" i="8"/>
  <c r="Q30"/>
  <c r="Q24"/>
  <c r="P25" i="23"/>
  <c r="Q23" s="1"/>
  <c r="H15" i="50"/>
  <c r="H16" s="1"/>
  <c r="J37" i="38" s="1"/>
  <c r="J38" s="1"/>
  <c r="J39" s="1"/>
  <c r="L38" i="53"/>
  <c r="M36" s="1"/>
  <c r="H13" i="51"/>
  <c r="H16" s="1"/>
  <c r="H17" s="1"/>
  <c r="I40" i="52" s="1"/>
  <c r="I41" s="1"/>
  <c r="I43" s="1"/>
  <c r="I44" s="1"/>
  <c r="W13" i="9"/>
  <c r="V9" i="52"/>
  <c r="O40" i="9"/>
  <c r="N23" i="53"/>
  <c r="N25" s="1"/>
  <c r="L7" i="50" s="1"/>
  <c r="L43" i="23"/>
  <c r="K55"/>
  <c r="J5" i="50"/>
  <c r="L20" i="38"/>
  <c r="K20" i="35"/>
  <c r="K21"/>
  <c r="W18" i="9"/>
  <c r="V15" i="52"/>
  <c r="S33" i="53"/>
  <c r="V32" i="23"/>
  <c r="V33" s="1"/>
  <c r="W31" s="1"/>
  <c r="V48"/>
  <c r="V49" s="1"/>
  <c r="W47" s="1"/>
  <c r="R27" i="8" l="1"/>
  <c r="S33" i="38"/>
  <c r="R22" i="35" s="1"/>
  <c r="V4" i="38"/>
  <c r="U6"/>
  <c r="S5" i="35"/>
  <c r="T30" i="38"/>
  <c r="T31" s="1"/>
  <c r="T32" s="1"/>
  <c r="T18"/>
  <c r="R9" i="35"/>
  <c r="R11"/>
  <c r="R6"/>
  <c r="R7"/>
  <c r="Q12"/>
  <c r="R8" i="38" s="1"/>
  <c r="R10" s="1"/>
  <c r="R35" s="1"/>
  <c r="Q25" i="35"/>
  <c r="Q19"/>
  <c r="T25" i="9"/>
  <c r="T22" i="52" s="1"/>
  <c r="T35" i="9"/>
  <c r="T36" s="1"/>
  <c r="T37" s="1"/>
  <c r="T12" i="52"/>
  <c r="T33" s="1"/>
  <c r="T34" s="1"/>
  <c r="T35" s="1"/>
  <c r="T36" s="1"/>
  <c r="Q28" i="23"/>
  <c r="Q29"/>
  <c r="R27" s="1"/>
  <c r="R28" s="1"/>
  <c r="R29" s="1"/>
  <c r="S27" s="1"/>
  <c r="U10" i="52"/>
  <c r="V14" i="9"/>
  <c r="U15"/>
  <c r="N24" i="53"/>
  <c r="O22" s="1"/>
  <c r="O23" s="1"/>
  <c r="R9" i="8"/>
  <c r="R24" s="1"/>
  <c r="J26" i="9"/>
  <c r="J41"/>
  <c r="I6" i="49" s="1"/>
  <c r="I16" s="1"/>
  <c r="W48" i="23"/>
  <c r="W49" s="1"/>
  <c r="X47" s="1"/>
  <c r="T19" i="53"/>
  <c r="T20" s="1"/>
  <c r="U18" s="1"/>
  <c r="W32" i="23"/>
  <c r="W33"/>
  <c r="X31" s="1"/>
  <c r="W52"/>
  <c r="W53" s="1"/>
  <c r="X51" s="1"/>
  <c r="X18" i="9"/>
  <c r="X15" i="52" s="1"/>
  <c r="W15"/>
  <c r="J39"/>
  <c r="I4" i="51" s="1"/>
  <c r="J23" i="52"/>
  <c r="J26" s="1"/>
  <c r="J27" s="1"/>
  <c r="J29" s="1"/>
  <c r="X13" i="9"/>
  <c r="W9" i="52"/>
  <c r="M37" i="53"/>
  <c r="M39" s="1"/>
  <c r="R16" i="9"/>
  <c r="P40"/>
  <c r="Q17"/>
  <c r="Q13" i="52"/>
  <c r="Q14" s="1"/>
  <c r="S34" i="53"/>
  <c r="T32" s="1"/>
  <c r="K23" i="35"/>
  <c r="K27" s="1"/>
  <c r="L45" i="23"/>
  <c r="L44"/>
  <c r="L54" s="1"/>
  <c r="Q24"/>
  <c r="Q34" s="1"/>
  <c r="O10" i="49" s="1"/>
  <c r="O8" i="51" s="1"/>
  <c r="P38" i="52"/>
  <c r="I9" i="50"/>
  <c r="I10" s="1"/>
  <c r="I12" s="1"/>
  <c r="I13"/>
  <c r="R30" i="8" l="1"/>
  <c r="T38" i="9"/>
  <c r="S9" i="8" s="1"/>
  <c r="S24" s="1"/>
  <c r="S6" i="35"/>
  <c r="S11"/>
  <c r="S7"/>
  <c r="S9"/>
  <c r="V6" i="38"/>
  <c r="W4"/>
  <c r="R14" i="8"/>
  <c r="S27"/>
  <c r="T33" i="38"/>
  <c r="S22" i="35" s="1"/>
  <c r="R19"/>
  <c r="R12"/>
  <c r="S8" i="38" s="1"/>
  <c r="S10" s="1"/>
  <c r="S35" s="1"/>
  <c r="R25" i="35"/>
  <c r="T5"/>
  <c r="U18" i="38"/>
  <c r="U30"/>
  <c r="U31" s="1"/>
  <c r="U32" s="1"/>
  <c r="U33" s="1"/>
  <c r="T22" i="35" s="1"/>
  <c r="O25" i="53"/>
  <c r="M7" i="50" s="1"/>
  <c r="O24" i="53"/>
  <c r="P22" s="1"/>
  <c r="V10" i="52"/>
  <c r="W14" i="9"/>
  <c r="V15"/>
  <c r="S28" i="23"/>
  <c r="S29"/>
  <c r="T27" s="1"/>
  <c r="T28" s="1"/>
  <c r="T29" s="1"/>
  <c r="U27" s="1"/>
  <c r="U28" s="1"/>
  <c r="U29" s="1"/>
  <c r="V27" s="1"/>
  <c r="U12" i="52"/>
  <c r="U33" s="1"/>
  <c r="U34" s="1"/>
  <c r="U35" s="1"/>
  <c r="U36" s="1"/>
  <c r="U35" i="9"/>
  <c r="U36" s="1"/>
  <c r="U37" s="1"/>
  <c r="U38" s="1"/>
  <c r="T27" i="8" s="1"/>
  <c r="U25" i="9"/>
  <c r="U22" i="52" s="1"/>
  <c r="S13" i="8"/>
  <c r="S14" s="1"/>
  <c r="I12" i="49"/>
  <c r="I13" s="1"/>
  <c r="I15" s="1"/>
  <c r="I18" s="1"/>
  <c r="I19" s="1"/>
  <c r="J42" i="9" s="1"/>
  <c r="J43" s="1"/>
  <c r="T13" i="8"/>
  <c r="U19" i="53"/>
  <c r="U20" s="1"/>
  <c r="V18" s="1"/>
  <c r="S16" i="9"/>
  <c r="P23" i="53"/>
  <c r="P25" s="1"/>
  <c r="N7" i="50" s="1"/>
  <c r="M43" i="23"/>
  <c r="L55"/>
  <c r="T33" i="53"/>
  <c r="T34" s="1"/>
  <c r="U32" s="1"/>
  <c r="K27" i="9"/>
  <c r="K24" i="52" s="1"/>
  <c r="J8" i="49"/>
  <c r="J6" i="51" s="1"/>
  <c r="J25" i="8"/>
  <c r="J26"/>
  <c r="Q38" i="52"/>
  <c r="R13"/>
  <c r="R14" s="1"/>
  <c r="R17" i="9"/>
  <c r="I14" i="51"/>
  <c r="I10"/>
  <c r="I11" s="1"/>
  <c r="I15" i="50"/>
  <c r="I16" s="1"/>
  <c r="K37" i="38" s="1"/>
  <c r="K38" s="1"/>
  <c r="K39" s="1"/>
  <c r="Q25" i="23"/>
  <c r="R23" s="1"/>
  <c r="M38" i="53"/>
  <c r="N36" s="1"/>
  <c r="K29" i="35"/>
  <c r="K30" s="1"/>
  <c r="K31" s="1"/>
  <c r="L17" i="38" s="1"/>
  <c r="Q40" i="9"/>
  <c r="M20" i="38"/>
  <c r="K5" i="50"/>
  <c r="L21" i="35"/>
  <c r="L20"/>
  <c r="X9" i="52"/>
  <c r="X52" i="23"/>
  <c r="X53" s="1"/>
  <c r="Y51" s="1"/>
  <c r="X33"/>
  <c r="Y31" s="1"/>
  <c r="X32"/>
  <c r="X48"/>
  <c r="X49" s="1"/>
  <c r="Y47" s="1"/>
  <c r="S30" i="8" l="1"/>
  <c r="T9"/>
  <c r="T30" s="1"/>
  <c r="T11" i="35"/>
  <c r="T9"/>
  <c r="T6"/>
  <c r="T7"/>
  <c r="V30" i="38"/>
  <c r="V31" s="1"/>
  <c r="V32" s="1"/>
  <c r="V33" s="1"/>
  <c r="U22" i="35" s="1"/>
  <c r="V18" i="38"/>
  <c r="U5" i="35"/>
  <c r="S25"/>
  <c r="S19"/>
  <c r="S12"/>
  <c r="T8" i="38" s="1"/>
  <c r="T10" s="1"/>
  <c r="T35" s="1"/>
  <c r="W6"/>
  <c r="X4"/>
  <c r="X6" s="1"/>
  <c r="V28" i="23"/>
  <c r="V29" s="1"/>
  <c r="W27" s="1"/>
  <c r="W28" s="1"/>
  <c r="W29" s="1"/>
  <c r="X27" s="1"/>
  <c r="X28" s="1"/>
  <c r="X29" s="1"/>
  <c r="Y27" s="1"/>
  <c r="Y28" s="1"/>
  <c r="Y29" s="1"/>
  <c r="V25" i="9"/>
  <c r="V22" i="52" s="1"/>
  <c r="V12"/>
  <c r="V33" s="1"/>
  <c r="V34" s="1"/>
  <c r="V35" s="1"/>
  <c r="V36" s="1"/>
  <c r="V35" i="9"/>
  <c r="V36" s="1"/>
  <c r="V37" s="1"/>
  <c r="V38" s="1"/>
  <c r="U9" i="8" s="1"/>
  <c r="X14" i="9"/>
  <c r="W10" i="52"/>
  <c r="W15" i="9"/>
  <c r="Y48" i="23"/>
  <c r="Y49" s="1"/>
  <c r="L19" i="38"/>
  <c r="L23" s="1"/>
  <c r="L24" s="1"/>
  <c r="L26" s="1"/>
  <c r="L36"/>
  <c r="J3" i="50" s="1"/>
  <c r="Y52" i="23"/>
  <c r="Y53" s="1"/>
  <c r="U33" i="53"/>
  <c r="U34"/>
  <c r="V32" s="1"/>
  <c r="V19"/>
  <c r="V20"/>
  <c r="W18" s="1"/>
  <c r="T16" i="9"/>
  <c r="N37" i="53"/>
  <c r="N39" s="1"/>
  <c r="U27" i="8"/>
  <c r="R38" i="52"/>
  <c r="T14" i="8"/>
  <c r="T24"/>
  <c r="L23" i="35"/>
  <c r="L27" s="1"/>
  <c r="L29" s="1"/>
  <c r="L30" s="1"/>
  <c r="L31" s="1"/>
  <c r="M17" i="38" s="1"/>
  <c r="J28" i="8"/>
  <c r="J32" s="1"/>
  <c r="J34" s="1"/>
  <c r="J35" s="1"/>
  <c r="J36" s="1"/>
  <c r="K24" i="9" s="1"/>
  <c r="P24" i="53"/>
  <c r="Q22" s="1"/>
  <c r="Y33" i="23"/>
  <c r="Y32"/>
  <c r="R24"/>
  <c r="R34" s="1"/>
  <c r="P10" i="49" s="1"/>
  <c r="P8" i="51" s="1"/>
  <c r="I13"/>
  <c r="I16" s="1"/>
  <c r="I17" s="1"/>
  <c r="J40" i="52" s="1"/>
  <c r="J41" s="1"/>
  <c r="J43" s="1"/>
  <c r="J44" s="1"/>
  <c r="R40" i="9"/>
  <c r="M44" i="23"/>
  <c r="M54" s="1"/>
  <c r="M45"/>
  <c r="S13" i="52"/>
  <c r="S14" s="1"/>
  <c r="S17" i="9"/>
  <c r="V5" i="35" l="1"/>
  <c r="W30" i="38"/>
  <c r="W31" s="1"/>
  <c r="W32" s="1"/>
  <c r="W33" s="1"/>
  <c r="V22" i="35" s="1"/>
  <c r="W18" i="38"/>
  <c r="U7" i="35"/>
  <c r="U11"/>
  <c r="U6"/>
  <c r="U9"/>
  <c r="T12"/>
  <c r="U8" i="38" s="1"/>
  <c r="U10" s="1"/>
  <c r="U35" s="1"/>
  <c r="T19" i="35"/>
  <c r="T25"/>
  <c r="U13" i="8"/>
  <c r="U14" s="1"/>
  <c r="W5" i="35"/>
  <c r="X30" i="38"/>
  <c r="X31" s="1"/>
  <c r="X32" s="1"/>
  <c r="X18"/>
  <c r="W12" i="52"/>
  <c r="W33" s="1"/>
  <c r="W34" s="1"/>
  <c r="W35" s="1"/>
  <c r="W35" i="9"/>
  <c r="W36" s="1"/>
  <c r="W37" s="1"/>
  <c r="W38" s="1"/>
  <c r="V9" i="8" s="1"/>
  <c r="W25" i="9"/>
  <c r="W22" i="52" s="1"/>
  <c r="X10"/>
  <c r="X15" i="9"/>
  <c r="R25" i="23"/>
  <c r="S23" s="1"/>
  <c r="N38" i="53"/>
  <c r="O36" s="1"/>
  <c r="N43" i="23"/>
  <c r="M55"/>
  <c r="S24"/>
  <c r="S34" s="1"/>
  <c r="Q10" i="49" s="1"/>
  <c r="Q8" i="51" s="1"/>
  <c r="M19" i="38"/>
  <c r="M23" s="1"/>
  <c r="M24" s="1"/>
  <c r="M26" s="1"/>
  <c r="M36"/>
  <c r="K3" i="50" s="1"/>
  <c r="U16" i="9"/>
  <c r="S38" i="52"/>
  <c r="L27" i="9"/>
  <c r="L24" i="52" s="1"/>
  <c r="K8" i="49"/>
  <c r="K6" i="51" s="1"/>
  <c r="K25" i="8"/>
  <c r="K26"/>
  <c r="Q24" i="53"/>
  <c r="R22" s="1"/>
  <c r="Q23"/>
  <c r="Q25" s="1"/>
  <c r="O7" i="50" s="1"/>
  <c r="L5"/>
  <c r="N20" i="38"/>
  <c r="M21" i="35"/>
  <c r="M20"/>
  <c r="S40" i="9"/>
  <c r="K21" i="52"/>
  <c r="K26" i="9"/>
  <c r="K41"/>
  <c r="J6" i="49" s="1"/>
  <c r="U30" i="8"/>
  <c r="U24"/>
  <c r="O37" i="53"/>
  <c r="O39" s="1"/>
  <c r="O38"/>
  <c r="P36" s="1"/>
  <c r="T17" i="9"/>
  <c r="T13" i="52"/>
  <c r="T14" s="1"/>
  <c r="W19" i="53"/>
  <c r="V33"/>
  <c r="V34"/>
  <c r="W32" s="1"/>
  <c r="J13" i="50"/>
  <c r="J9"/>
  <c r="J10" s="1"/>
  <c r="J12" s="1"/>
  <c r="X33" i="38" l="1"/>
  <c r="W22" i="35" s="1"/>
  <c r="V27" i="8"/>
  <c r="V7" i="35"/>
  <c r="V6"/>
  <c r="V9"/>
  <c r="V11"/>
  <c r="V13" i="8"/>
  <c r="V14" s="1"/>
  <c r="W6" i="35"/>
  <c r="W9"/>
  <c r="W11"/>
  <c r="W7"/>
  <c r="U12"/>
  <c r="V8" i="38" s="1"/>
  <c r="V10" s="1"/>
  <c r="V35" s="1"/>
  <c r="U25" i="35"/>
  <c r="U19"/>
  <c r="W36" i="52"/>
  <c r="X35" i="9"/>
  <c r="X36" s="1"/>
  <c r="X37" s="1"/>
  <c r="X12" i="52"/>
  <c r="X33" s="1"/>
  <c r="X34" s="1"/>
  <c r="X35" s="1"/>
  <c r="X36" s="1"/>
  <c r="X25" i="9"/>
  <c r="X22" i="52" s="1"/>
  <c r="S25" i="23"/>
  <c r="T23" s="1"/>
  <c r="J15" i="50"/>
  <c r="J16" s="1"/>
  <c r="L37" i="38" s="1"/>
  <c r="L38" s="1"/>
  <c r="L39" s="1"/>
  <c r="M23" i="35"/>
  <c r="M27" s="1"/>
  <c r="M29" s="1"/>
  <c r="M30" s="1"/>
  <c r="M31" s="1"/>
  <c r="N17" i="38" s="1"/>
  <c r="N19" s="1"/>
  <c r="N23" s="1"/>
  <c r="N24" s="1"/>
  <c r="N26" s="1"/>
  <c r="K28" i="8"/>
  <c r="K32" s="1"/>
  <c r="K34" s="1"/>
  <c r="K35" s="1"/>
  <c r="K36" s="1"/>
  <c r="L24" i="9" s="1"/>
  <c r="L21" i="52" s="1"/>
  <c r="T38"/>
  <c r="J12" i="49"/>
  <c r="J13" s="1"/>
  <c r="J16"/>
  <c r="K23" i="52"/>
  <c r="K26" s="1"/>
  <c r="K27" s="1"/>
  <c r="K29" s="1"/>
  <c r="K39"/>
  <c r="J4" i="51" s="1"/>
  <c r="T40" i="9"/>
  <c r="M5" i="50"/>
  <c r="O20" i="38"/>
  <c r="N21" i="35"/>
  <c r="N20"/>
  <c r="V16" i="9"/>
  <c r="V24" i="8"/>
  <c r="V30"/>
  <c r="U17" i="9"/>
  <c r="U13" i="52"/>
  <c r="U14" s="1"/>
  <c r="U38" s="1"/>
  <c r="N44" i="23"/>
  <c r="N54" s="1"/>
  <c r="W20" i="53"/>
  <c r="X18" s="1"/>
  <c r="X38" i="9"/>
  <c r="W33" i="53"/>
  <c r="W34" s="1"/>
  <c r="X32" s="1"/>
  <c r="P38"/>
  <c r="Q36" s="1"/>
  <c r="P37"/>
  <c r="P39" s="1"/>
  <c r="R23"/>
  <c r="R25" s="1"/>
  <c r="P7" i="50" s="1"/>
  <c r="R24" i="53"/>
  <c r="S22" s="1"/>
  <c r="K9" i="50"/>
  <c r="K10" s="1"/>
  <c r="K12" s="1"/>
  <c r="K13"/>
  <c r="T24" i="23"/>
  <c r="T34" s="1"/>
  <c r="R10" i="49" s="1"/>
  <c r="R8" i="51" s="1"/>
  <c r="W19" i="35" l="1"/>
  <c r="W12"/>
  <c r="X8" i="38" s="1"/>
  <c r="X10" s="1"/>
  <c r="X35" s="1"/>
  <c r="W25" i="35"/>
  <c r="V19"/>
  <c r="V12"/>
  <c r="W8" i="38" s="1"/>
  <c r="W10" s="1"/>
  <c r="W35" s="1"/>
  <c r="V25" i="35"/>
  <c r="T25" i="23"/>
  <c r="U23" s="1"/>
  <c r="L26" i="9"/>
  <c r="L41"/>
  <c r="K6" i="49" s="1"/>
  <c r="K12" s="1"/>
  <c r="K13" s="1"/>
  <c r="N36" i="38"/>
  <c r="L3" i="50" s="1"/>
  <c r="L13" s="1"/>
  <c r="K15"/>
  <c r="K16" s="1"/>
  <c r="M37" i="38" s="1"/>
  <c r="M38" s="1"/>
  <c r="M39" s="1"/>
  <c r="N23" i="35"/>
  <c r="N27" s="1"/>
  <c r="N29" s="1"/>
  <c r="N30" s="1"/>
  <c r="N31" s="1"/>
  <c r="O17" i="38" s="1"/>
  <c r="O36" s="1"/>
  <c r="M3" i="50" s="1"/>
  <c r="X33" i="53"/>
  <c r="X34" s="1"/>
  <c r="S23"/>
  <c r="S25" s="1"/>
  <c r="Q7" i="50" s="1"/>
  <c r="Q37" i="53"/>
  <c r="Q39" s="1"/>
  <c r="Q38"/>
  <c r="R36" s="1"/>
  <c r="W9" i="8"/>
  <c r="W27"/>
  <c r="W13"/>
  <c r="U40" i="9"/>
  <c r="W16"/>
  <c r="K16" i="49"/>
  <c r="L23" i="52"/>
  <c r="L26" s="1"/>
  <c r="L27" s="1"/>
  <c r="L29" s="1"/>
  <c r="L39"/>
  <c r="K4" i="51" s="1"/>
  <c r="N5" i="50"/>
  <c r="P20" i="38"/>
  <c r="O20" i="35"/>
  <c r="O21"/>
  <c r="X19" i="53"/>
  <c r="X20" s="1"/>
  <c r="V17" i="9"/>
  <c r="V13" i="52"/>
  <c r="V14" s="1"/>
  <c r="J15" i="49"/>
  <c r="J18" s="1"/>
  <c r="J19" s="1"/>
  <c r="K42" i="9" s="1"/>
  <c r="K43" s="1"/>
  <c r="N45" i="23"/>
  <c r="U24"/>
  <c r="U34" s="1"/>
  <c r="S10" i="49" s="1"/>
  <c r="S8" i="51" s="1"/>
  <c r="M27" i="9"/>
  <c r="M24" i="52" s="1"/>
  <c r="L8" i="49"/>
  <c r="L6" i="51" s="1"/>
  <c r="L26" i="8"/>
  <c r="L25"/>
  <c r="J10" i="51"/>
  <c r="J11" s="1"/>
  <c r="J14"/>
  <c r="L9" i="50" l="1"/>
  <c r="L10" s="1"/>
  <c r="O19" i="38"/>
  <c r="O23" s="1"/>
  <c r="O24" s="1"/>
  <c r="O26" s="1"/>
  <c r="K15" i="49"/>
  <c r="K18" s="1"/>
  <c r="K19" s="1"/>
  <c r="L42" i="9" s="1"/>
  <c r="L43" s="1"/>
  <c r="J13" i="51"/>
  <c r="J16" s="1"/>
  <c r="J17" s="1"/>
  <c r="K40" i="52" s="1"/>
  <c r="K41" s="1"/>
  <c r="K43" s="1"/>
  <c r="K44" s="1"/>
  <c r="L12" i="50"/>
  <c r="L15" s="1"/>
  <c r="L16" s="1"/>
  <c r="N37" i="38" s="1"/>
  <c r="N38" s="1"/>
  <c r="N39" s="1"/>
  <c r="V38" i="52"/>
  <c r="M13" i="50"/>
  <c r="M9"/>
  <c r="O43" i="23"/>
  <c r="N55"/>
  <c r="V40" i="9"/>
  <c r="W14" i="8"/>
  <c r="W30"/>
  <c r="W24"/>
  <c r="Q20" i="38"/>
  <c r="O5" i="50"/>
  <c r="P20" i="35"/>
  <c r="P21"/>
  <c r="L28" i="8"/>
  <c r="L32" s="1"/>
  <c r="L34" s="1"/>
  <c r="L35" s="1"/>
  <c r="L36" s="1"/>
  <c r="M24" i="9" s="1"/>
  <c r="U25" i="23"/>
  <c r="V23" s="1"/>
  <c r="O23" i="35"/>
  <c r="O27" s="1"/>
  <c r="O29" s="1"/>
  <c r="O30" s="1"/>
  <c r="O31" s="1"/>
  <c r="P17" i="38" s="1"/>
  <c r="S24" i="53"/>
  <c r="T22" s="1"/>
  <c r="K10" i="51"/>
  <c r="K11" s="1"/>
  <c r="K14"/>
  <c r="W17" i="9"/>
  <c r="W13" i="52"/>
  <c r="W14" s="1"/>
  <c r="R37" i="53"/>
  <c r="R39" s="1"/>
  <c r="M10" i="50" l="1"/>
  <c r="M12" s="1"/>
  <c r="P23" i="35"/>
  <c r="P27" s="1"/>
  <c r="P29" s="1"/>
  <c r="P30" s="1"/>
  <c r="P31" s="1"/>
  <c r="Q17" i="38" s="1"/>
  <c r="Q36" s="1"/>
  <c r="O3" i="50" s="1"/>
  <c r="M15"/>
  <c r="M16" s="1"/>
  <c r="O37" i="38" s="1"/>
  <c r="O38" s="1"/>
  <c r="O39" s="1"/>
  <c r="P5" i="50"/>
  <c r="R20" i="38"/>
  <c r="Q21" i="35"/>
  <c r="Q20"/>
  <c r="Q19" i="38"/>
  <c r="Q23" s="1"/>
  <c r="Q24" s="1"/>
  <c r="Q26" s="1"/>
  <c r="K13" i="51"/>
  <c r="K16" s="1"/>
  <c r="K17" s="1"/>
  <c r="L40" i="52" s="1"/>
  <c r="L41" s="1"/>
  <c r="L43" s="1"/>
  <c r="L44" s="1"/>
  <c r="W40" i="9"/>
  <c r="T23" i="53"/>
  <c r="T25" s="1"/>
  <c r="R7" i="50" s="1"/>
  <c r="P19" i="38"/>
  <c r="P23" s="1"/>
  <c r="P24" s="1"/>
  <c r="P26" s="1"/>
  <c r="P36"/>
  <c r="N3" i="50" s="1"/>
  <c r="V24" i="23"/>
  <c r="V34" s="1"/>
  <c r="T10" i="49" s="1"/>
  <c r="T8" i="51" s="1"/>
  <c r="X16" i="9"/>
  <c r="O44" i="23"/>
  <c r="O54" s="1"/>
  <c r="R38" i="53"/>
  <c r="S36" s="1"/>
  <c r="W38" i="52"/>
  <c r="M21"/>
  <c r="M26" i="9"/>
  <c r="M41"/>
  <c r="L6" i="49" s="1"/>
  <c r="O45" i="23" l="1"/>
  <c r="O55" s="1"/>
  <c r="V25"/>
  <c r="W23" s="1"/>
  <c r="T24" i="53"/>
  <c r="U22" s="1"/>
  <c r="U23" s="1"/>
  <c r="U25" s="1"/>
  <c r="S7" i="50" s="1"/>
  <c r="Q23" i="35"/>
  <c r="Q27" s="1"/>
  <c r="Q29" s="1"/>
  <c r="Q30" s="1"/>
  <c r="Q31" s="1"/>
  <c r="R17" i="38" s="1"/>
  <c r="R19" s="1"/>
  <c r="R23" s="1"/>
  <c r="R24" s="1"/>
  <c r="R26" s="1"/>
  <c r="L16" i="49"/>
  <c r="L12"/>
  <c r="L13" s="1"/>
  <c r="M23" i="52"/>
  <c r="M26" s="1"/>
  <c r="M27" s="1"/>
  <c r="M29" s="1"/>
  <c r="M39"/>
  <c r="L4" i="51" s="1"/>
  <c r="P43" i="23"/>
  <c r="N13" i="50"/>
  <c r="N9"/>
  <c r="N10" s="1"/>
  <c r="O13"/>
  <c r="O9"/>
  <c r="S37" i="53"/>
  <c r="S39" s="1"/>
  <c r="N27" i="9"/>
  <c r="N24" i="52" s="1"/>
  <c r="M8" i="49"/>
  <c r="M6" i="51" s="1"/>
  <c r="M25" i="8"/>
  <c r="M26"/>
  <c r="X13" i="52"/>
  <c r="X14" s="1"/>
  <c r="X17" i="9"/>
  <c r="W24" i="23"/>
  <c r="W34" s="1"/>
  <c r="U10" i="49" s="1"/>
  <c r="U8" i="51" s="1"/>
  <c r="W25" i="23"/>
  <c r="X23" s="1"/>
  <c r="R36" i="38" l="1"/>
  <c r="P3" i="50" s="1"/>
  <c r="P9" s="1"/>
  <c r="X40" i="9"/>
  <c r="S20" i="38"/>
  <c r="Q5" i="50"/>
  <c r="R21" i="35"/>
  <c r="R20"/>
  <c r="N12" i="50"/>
  <c r="N15" s="1"/>
  <c r="N16" s="1"/>
  <c r="P37" i="38" s="1"/>
  <c r="P38" s="1"/>
  <c r="P39" s="1"/>
  <c r="O10" i="50"/>
  <c r="O12" s="1"/>
  <c r="O15" s="1"/>
  <c r="O16" s="1"/>
  <c r="Q37" i="38" s="1"/>
  <c r="Q38" s="1"/>
  <c r="Q39" s="1"/>
  <c r="L10" i="51"/>
  <c r="L11" s="1"/>
  <c r="L14"/>
  <c r="L15" i="49"/>
  <c r="L18" s="1"/>
  <c r="L19" s="1"/>
  <c r="M42" i="9" s="1"/>
  <c r="M43" s="1"/>
  <c r="X38" i="52"/>
  <c r="P44" i="23"/>
  <c r="P54" s="1"/>
  <c r="U24" i="53"/>
  <c r="V22" s="1"/>
  <c r="M28" i="8"/>
  <c r="M32" s="1"/>
  <c r="M34" s="1"/>
  <c r="M35" s="1"/>
  <c r="M36" s="1"/>
  <c r="N24" i="9" s="1"/>
  <c r="S38" i="53"/>
  <c r="T36" s="1"/>
  <c r="X24" i="23"/>
  <c r="X34" s="1"/>
  <c r="V10" i="49" s="1"/>
  <c r="V8" i="51" s="1"/>
  <c r="P45" i="23" l="1"/>
  <c r="P55" s="1"/>
  <c r="P13" i="50"/>
  <c r="P10"/>
  <c r="P12" s="1"/>
  <c r="R23" i="35"/>
  <c r="R27" s="1"/>
  <c r="R29" s="1"/>
  <c r="R30" s="1"/>
  <c r="R31" s="1"/>
  <c r="S17" i="38" s="1"/>
  <c r="S36" s="1"/>
  <c r="Q3" i="50" s="1"/>
  <c r="N21" i="52"/>
  <c r="N26" i="9"/>
  <c r="N41"/>
  <c r="M6" i="49" s="1"/>
  <c r="S19" i="38"/>
  <c r="S23" s="1"/>
  <c r="S24" s="1"/>
  <c r="S26" s="1"/>
  <c r="T37" i="53"/>
  <c r="T39" s="1"/>
  <c r="V23"/>
  <c r="V25" s="1"/>
  <c r="T7" i="50" s="1"/>
  <c r="O27" i="9"/>
  <c r="O24" i="52" s="1"/>
  <c r="N8" i="49"/>
  <c r="N6" i="51" s="1"/>
  <c r="N25" i="8"/>
  <c r="N26"/>
  <c r="L13" i="51"/>
  <c r="L16" s="1"/>
  <c r="L17" s="1"/>
  <c r="M40" i="52" s="1"/>
  <c r="M41" s="1"/>
  <c r="M43" s="1"/>
  <c r="M44" s="1"/>
  <c r="X25" i="23"/>
  <c r="Y23" s="1"/>
  <c r="Q43"/>
  <c r="P15" i="50" l="1"/>
  <c r="P16" s="1"/>
  <c r="R37" i="38" s="1"/>
  <c r="R38" s="1"/>
  <c r="R39" s="1"/>
  <c r="N28" i="8"/>
  <c r="N32" s="1"/>
  <c r="N34" s="1"/>
  <c r="N35" s="1"/>
  <c r="N36" s="1"/>
  <c r="O24" i="9" s="1"/>
  <c r="O26" s="1"/>
  <c r="Q44" i="23"/>
  <c r="Q54" s="1"/>
  <c r="Q9" i="50"/>
  <c r="Q10" s="1"/>
  <c r="Q12" s="1"/>
  <c r="Q13"/>
  <c r="M12" i="49"/>
  <c r="M13" s="1"/>
  <c r="M16"/>
  <c r="N23" i="52"/>
  <c r="N26" s="1"/>
  <c r="N27" s="1"/>
  <c r="N29" s="1"/>
  <c r="N39"/>
  <c r="M4" i="51" s="1"/>
  <c r="V24" i="53"/>
  <c r="W22" s="1"/>
  <c r="T38"/>
  <c r="U36" s="1"/>
  <c r="Y25" i="23"/>
  <c r="Y24"/>
  <c r="Y34" s="1"/>
  <c r="W10" i="49" s="1"/>
  <c r="W8" i="51" s="1"/>
  <c r="O21" i="52"/>
  <c r="T20" i="38"/>
  <c r="R5" i="50"/>
  <c r="S21" i="35"/>
  <c r="S20"/>
  <c r="O41" i="9" l="1"/>
  <c r="N6" i="49" s="1"/>
  <c r="N12" s="1"/>
  <c r="N13" s="1"/>
  <c r="S23" i="35"/>
  <c r="S27" s="1"/>
  <c r="S29" s="1"/>
  <c r="S30" s="1"/>
  <c r="S31" s="1"/>
  <c r="T17" i="38" s="1"/>
  <c r="T36" s="1"/>
  <c r="R3" i="50" s="1"/>
  <c r="Q15"/>
  <c r="Q16" s="1"/>
  <c r="S37" i="38" s="1"/>
  <c r="S38" s="1"/>
  <c r="S39" s="1"/>
  <c r="N16" i="49"/>
  <c r="O23" i="52"/>
  <c r="O26" s="1"/>
  <c r="O27" s="1"/>
  <c r="O29" s="1"/>
  <c r="O39"/>
  <c r="N4" i="51" s="1"/>
  <c r="W23" i="53"/>
  <c r="W25" s="1"/>
  <c r="U7" i="50" s="1"/>
  <c r="M15" i="49"/>
  <c r="M18" s="1"/>
  <c r="M19" s="1"/>
  <c r="N42" i="9" s="1"/>
  <c r="N43" s="1"/>
  <c r="O8" i="49"/>
  <c r="O6" i="51" s="1"/>
  <c r="P27" i="9"/>
  <c r="P24" i="52" s="1"/>
  <c r="O25" i="8"/>
  <c r="O26"/>
  <c r="U37" i="53"/>
  <c r="U39" s="1"/>
  <c r="U38"/>
  <c r="V36" s="1"/>
  <c r="M14" i="51"/>
  <c r="M10"/>
  <c r="M11" s="1"/>
  <c r="Q45" i="23"/>
  <c r="T19" i="38" l="1"/>
  <c r="T23" s="1"/>
  <c r="T24" s="1"/>
  <c r="T26" s="1"/>
  <c r="W24" i="53"/>
  <c r="X22" s="1"/>
  <c r="N15" i="49"/>
  <c r="N18" s="1"/>
  <c r="N19" s="1"/>
  <c r="O42" i="9" s="1"/>
  <c r="O43" s="1"/>
  <c r="R43" i="23"/>
  <c r="Q55"/>
  <c r="M13" i="51"/>
  <c r="M16" s="1"/>
  <c r="M17" s="1"/>
  <c r="N40" i="52" s="1"/>
  <c r="N41" s="1"/>
  <c r="N43" s="1"/>
  <c r="N44" s="1"/>
  <c r="V37" i="53"/>
  <c r="V39" s="1"/>
  <c r="X23"/>
  <c r="X25" s="1"/>
  <c r="V7" i="50" s="1"/>
  <c r="N14" i="51"/>
  <c r="N10"/>
  <c r="N11" s="1"/>
  <c r="R13" i="50"/>
  <c r="R9"/>
  <c r="R10" s="1"/>
  <c r="R12" s="1"/>
  <c r="U20" i="38"/>
  <c r="S5" i="50"/>
  <c r="T20" i="35"/>
  <c r="T21"/>
  <c r="O28" i="8"/>
  <c r="O32" s="1"/>
  <c r="O34" s="1"/>
  <c r="O35" s="1"/>
  <c r="O36" s="1"/>
  <c r="P24" i="9" s="1"/>
  <c r="X24" i="53" l="1"/>
  <c r="R15" i="50"/>
  <c r="R16" s="1"/>
  <c r="T37" i="38" s="1"/>
  <c r="T38" s="1"/>
  <c r="T39" s="1"/>
  <c r="N13" i="51"/>
  <c r="N16" s="1"/>
  <c r="N17" s="1"/>
  <c r="O40" i="52" s="1"/>
  <c r="O41" s="1"/>
  <c r="O43" s="1"/>
  <c r="O44" s="1"/>
  <c r="V20" i="38"/>
  <c r="T5" i="50"/>
  <c r="U20" i="35"/>
  <c r="U21"/>
  <c r="P21" i="52"/>
  <c r="P26" i="9"/>
  <c r="P41"/>
  <c r="O6" i="49" s="1"/>
  <c r="R45" i="23"/>
  <c r="R44"/>
  <c r="R54" s="1"/>
  <c r="T23" i="35"/>
  <c r="T27" s="1"/>
  <c r="T29" s="1"/>
  <c r="T30" s="1"/>
  <c r="T31" s="1"/>
  <c r="U17" i="38" s="1"/>
  <c r="V38" i="53"/>
  <c r="W36" s="1"/>
  <c r="U19" i="38" l="1"/>
  <c r="U23" s="1"/>
  <c r="U24" s="1"/>
  <c r="U26" s="1"/>
  <c r="U36"/>
  <c r="S3" i="50" s="1"/>
  <c r="S43" i="23"/>
  <c r="R55"/>
  <c r="W37" i="53"/>
  <c r="W39" s="1"/>
  <c r="P8" i="49"/>
  <c r="P6" i="51" s="1"/>
  <c r="Q27" i="9"/>
  <c r="Q24" i="52" s="1"/>
  <c r="P25" i="8"/>
  <c r="P26"/>
  <c r="O16" i="49"/>
  <c r="O12"/>
  <c r="O13" s="1"/>
  <c r="P23" i="52"/>
  <c r="P26" s="1"/>
  <c r="P27" s="1"/>
  <c r="P29" s="1"/>
  <c r="P39"/>
  <c r="O4" i="51" s="1"/>
  <c r="U23" i="35"/>
  <c r="U27" s="1"/>
  <c r="U29" s="1"/>
  <c r="U30" s="1"/>
  <c r="U31" s="1"/>
  <c r="V17" i="38" s="1"/>
  <c r="O14" i="51" l="1"/>
  <c r="O10"/>
  <c r="O11" s="1"/>
  <c r="O15" i="49"/>
  <c r="O18" s="1"/>
  <c r="O19" s="1"/>
  <c r="P42" i="9" s="1"/>
  <c r="P43" s="1"/>
  <c r="U5" i="50"/>
  <c r="W20" i="38"/>
  <c r="V20" i="35"/>
  <c r="V21"/>
  <c r="S9" i="50"/>
  <c r="S10" s="1"/>
  <c r="S12" s="1"/>
  <c r="S13"/>
  <c r="S44" i="23"/>
  <c r="S54" s="1"/>
  <c r="P28" i="8"/>
  <c r="P32" s="1"/>
  <c r="P34" s="1"/>
  <c r="P35" s="1"/>
  <c r="P36" s="1"/>
  <c r="Q24" i="9" s="1"/>
  <c r="W38" i="53"/>
  <c r="X36" s="1"/>
  <c r="V19" i="38"/>
  <c r="V23" s="1"/>
  <c r="V24" s="1"/>
  <c r="V26" s="1"/>
  <c r="V36"/>
  <c r="T3" i="50" s="1"/>
  <c r="T9" l="1"/>
  <c r="T10" s="1"/>
  <c r="T13"/>
  <c r="X37" i="53"/>
  <c r="X39" s="1"/>
  <c r="O13" i="51"/>
  <c r="O16" s="1"/>
  <c r="O17" s="1"/>
  <c r="P40" i="52" s="1"/>
  <c r="P41" s="1"/>
  <c r="P43" s="1"/>
  <c r="P44" s="1"/>
  <c r="Q21"/>
  <c r="Q26" i="9"/>
  <c r="Q41"/>
  <c r="P6" i="49" s="1"/>
  <c r="S45" i="23"/>
  <c r="S15" i="50"/>
  <c r="S16" s="1"/>
  <c r="U37" i="38" s="1"/>
  <c r="U38" s="1"/>
  <c r="U39" s="1"/>
  <c r="V23" i="35"/>
  <c r="V27" s="1"/>
  <c r="V29" s="1"/>
  <c r="V30" s="1"/>
  <c r="V31" s="1"/>
  <c r="W17" i="38" s="1"/>
  <c r="R27" i="9"/>
  <c r="R24" i="52" s="1"/>
  <c r="Q8" i="49"/>
  <c r="Q6" i="51" s="1"/>
  <c r="Q26" i="8"/>
  <c r="Q25"/>
  <c r="X38" i="53" l="1"/>
  <c r="X22" i="38" s="1"/>
  <c r="W19"/>
  <c r="W23" s="1"/>
  <c r="W24" s="1"/>
  <c r="W26" s="1"/>
  <c r="C26" s="1"/>
  <c r="C27" s="1"/>
  <c r="I8" i="45" s="1"/>
  <c r="W36" i="38"/>
  <c r="U3" i="50" s="1"/>
  <c r="T43" i="23"/>
  <c r="S55"/>
  <c r="P12" i="49"/>
  <c r="P13" s="1"/>
  <c r="P16"/>
  <c r="Q23" i="52"/>
  <c r="Q26" s="1"/>
  <c r="Q27" s="1"/>
  <c r="Q29" s="1"/>
  <c r="Q39"/>
  <c r="P4" i="51" s="1"/>
  <c r="V5" i="50"/>
  <c r="X20" i="38"/>
  <c r="W20" i="35"/>
  <c r="W21"/>
  <c r="T12" i="50"/>
  <c r="T15" s="1"/>
  <c r="T16" s="1"/>
  <c r="V37" i="38" s="1"/>
  <c r="V38" s="1"/>
  <c r="V39" s="1"/>
  <c r="Q28" i="8"/>
  <c r="Q32" s="1"/>
  <c r="Q34" s="1"/>
  <c r="Q35" s="1"/>
  <c r="Q36" s="1"/>
  <c r="R24" i="9" s="1"/>
  <c r="P14" i="51" l="1"/>
  <c r="P10"/>
  <c r="P11" s="1"/>
  <c r="R21" i="52"/>
  <c r="R26" i="9"/>
  <c r="R41"/>
  <c r="Q6" i="49" s="1"/>
  <c r="P15"/>
  <c r="P18" s="1"/>
  <c r="P19" s="1"/>
  <c r="Q42" i="9" s="1"/>
  <c r="Q43" s="1"/>
  <c r="T44" i="23"/>
  <c r="T54" s="1"/>
  <c r="W23" i="35"/>
  <c r="W27" s="1"/>
  <c r="W29" s="1"/>
  <c r="W30" s="1"/>
  <c r="W31" s="1"/>
  <c r="X17" i="38" s="1"/>
  <c r="U9" i="50"/>
  <c r="U10" s="1"/>
  <c r="U13"/>
  <c r="T45" i="23" l="1"/>
  <c r="X19" i="38"/>
  <c r="X23" s="1"/>
  <c r="X24" s="1"/>
  <c r="X26" s="1"/>
  <c r="X36"/>
  <c r="V3" i="50" s="1"/>
  <c r="U43" i="23"/>
  <c r="T55"/>
  <c r="P13" i="51"/>
  <c r="P16" s="1"/>
  <c r="P17" s="1"/>
  <c r="Q40" i="52" s="1"/>
  <c r="Q41" s="1"/>
  <c r="Q43" s="1"/>
  <c r="Q44" s="1"/>
  <c r="U12" i="50"/>
  <c r="U15" s="1"/>
  <c r="U16" s="1"/>
  <c r="W37" i="38" s="1"/>
  <c r="W38" s="1"/>
  <c r="W39" s="1"/>
  <c r="R8" i="49"/>
  <c r="R6" i="51" s="1"/>
  <c r="S27" i="9"/>
  <c r="S24" i="52" s="1"/>
  <c r="R26" i="8"/>
  <c r="R25"/>
  <c r="Q12" i="49"/>
  <c r="Q13" s="1"/>
  <c r="Q16"/>
  <c r="R23" i="52"/>
  <c r="R26" s="1"/>
  <c r="R27" s="1"/>
  <c r="R29" s="1"/>
  <c r="R39"/>
  <c r="Q4" i="51" s="1"/>
  <c r="R28" i="8" l="1"/>
  <c r="R32" s="1"/>
  <c r="R34" s="1"/>
  <c r="R35" s="1"/>
  <c r="R36" s="1"/>
  <c r="S24" i="9" s="1"/>
  <c r="S26" s="1"/>
  <c r="Q14" i="51"/>
  <c r="Q10"/>
  <c r="Q11" s="1"/>
  <c r="Q15" i="49"/>
  <c r="Q18" s="1"/>
  <c r="Q19" s="1"/>
  <c r="R42" i="9" s="1"/>
  <c r="R43" s="1"/>
  <c r="U44" i="23"/>
  <c r="U54" s="1"/>
  <c r="S21" i="52"/>
  <c r="V9" i="50"/>
  <c r="V10" s="1"/>
  <c r="V12" s="1"/>
  <c r="V13"/>
  <c r="U45" i="23" l="1"/>
  <c r="S41" i="9"/>
  <c r="R6" i="49" s="1"/>
  <c r="R12" s="1"/>
  <c r="R13" s="1"/>
  <c r="V15" i="50"/>
  <c r="V16" s="1"/>
  <c r="X37" i="38" s="1"/>
  <c r="X38" s="1"/>
  <c r="X39" s="1"/>
  <c r="C40" s="1"/>
  <c r="I11" i="45" s="1"/>
  <c r="V43" i="23"/>
  <c r="U55"/>
  <c r="Q13" i="51"/>
  <c r="Q16" s="1"/>
  <c r="Q17" s="1"/>
  <c r="R40" i="52" s="1"/>
  <c r="R41" s="1"/>
  <c r="R43" s="1"/>
  <c r="R44" s="1"/>
  <c r="R16" i="49"/>
  <c r="S23" i="52"/>
  <c r="S26" s="1"/>
  <c r="S27" s="1"/>
  <c r="S29" s="1"/>
  <c r="S39"/>
  <c r="R4" i="51" s="1"/>
  <c r="T27" i="9"/>
  <c r="T24" i="52" s="1"/>
  <c r="S8" i="49"/>
  <c r="S6" i="51" s="1"/>
  <c r="S25" i="8"/>
  <c r="S26"/>
  <c r="R14" i="51" l="1"/>
  <c r="R10"/>
  <c r="R11" s="1"/>
  <c r="R15" i="49"/>
  <c r="R18" s="1"/>
  <c r="R19" s="1"/>
  <c r="S42" i="9" s="1"/>
  <c r="S43" s="1"/>
  <c r="V44" i="23"/>
  <c r="V54" s="1"/>
  <c r="V45"/>
  <c r="S28" i="8"/>
  <c r="S32" s="1"/>
  <c r="S34" s="1"/>
  <c r="S35" s="1"/>
  <c r="S36" s="1"/>
  <c r="T24" i="9" s="1"/>
  <c r="W43" i="23" l="1"/>
  <c r="V55"/>
  <c r="R13" i="51"/>
  <c r="R16" s="1"/>
  <c r="R17" s="1"/>
  <c r="S40" i="52" s="1"/>
  <c r="S41" s="1"/>
  <c r="S43" s="1"/>
  <c r="S44" s="1"/>
  <c r="T21"/>
  <c r="T26" i="9"/>
  <c r="T41"/>
  <c r="S6" i="49" s="1"/>
  <c r="U27" i="9"/>
  <c r="U24" i="52" s="1"/>
  <c r="T8" i="49"/>
  <c r="T6" i="51" s="1"/>
  <c r="T25" i="8"/>
  <c r="T26"/>
  <c r="T28" l="1"/>
  <c r="T32" s="1"/>
  <c r="T34" s="1"/>
  <c r="T35" s="1"/>
  <c r="T36" s="1"/>
  <c r="U24" i="9" s="1"/>
  <c r="U21" i="52" s="1"/>
  <c r="S12" i="49"/>
  <c r="S13" s="1"/>
  <c r="S16"/>
  <c r="T23" i="52"/>
  <c r="T26" s="1"/>
  <c r="T27" s="1"/>
  <c r="T29" s="1"/>
  <c r="T39"/>
  <c r="S4" i="51" s="1"/>
  <c r="W44" i="23"/>
  <c r="W54" s="1"/>
  <c r="U26" i="9" l="1"/>
  <c r="U41"/>
  <c r="T6" i="49" s="1"/>
  <c r="T16" s="1"/>
  <c r="V27" i="9"/>
  <c r="V24" i="52" s="1"/>
  <c r="U8" i="49"/>
  <c r="U6" i="51" s="1"/>
  <c r="U26" i="8"/>
  <c r="U25"/>
  <c r="S15" i="49"/>
  <c r="S18" s="1"/>
  <c r="S19" s="1"/>
  <c r="T42" i="9" s="1"/>
  <c r="T43" s="1"/>
  <c r="S14" i="51"/>
  <c r="S10"/>
  <c r="S11" s="1"/>
  <c r="T12" i="49"/>
  <c r="T13" s="1"/>
  <c r="U23" i="52"/>
  <c r="U26" s="1"/>
  <c r="U27" s="1"/>
  <c r="U29" s="1"/>
  <c r="U39"/>
  <c r="T4" i="51" s="1"/>
  <c r="W45" i="23"/>
  <c r="U28" i="8" l="1"/>
  <c r="U32" s="1"/>
  <c r="U34" s="1"/>
  <c r="U35" s="1"/>
  <c r="U36" s="1"/>
  <c r="V24" i="9" s="1"/>
  <c r="V21" i="52" s="1"/>
  <c r="X43" i="23"/>
  <c r="W55"/>
  <c r="S13" i="51"/>
  <c r="S16" s="1"/>
  <c r="S17" s="1"/>
  <c r="T40" i="52" s="1"/>
  <c r="T41" s="1"/>
  <c r="T43" s="1"/>
  <c r="T44" s="1"/>
  <c r="T15" i="49"/>
  <c r="T18" s="1"/>
  <c r="T19" s="1"/>
  <c r="U42" i="9" s="1"/>
  <c r="U43" s="1"/>
  <c r="T10" i="51"/>
  <c r="T11" s="1"/>
  <c r="T14"/>
  <c r="V26" i="9" l="1"/>
  <c r="V41"/>
  <c r="U6" i="49" s="1"/>
  <c r="U16" s="1"/>
  <c r="T13" i="51"/>
  <c r="T16" s="1"/>
  <c r="T17" s="1"/>
  <c r="U40" i="52" s="1"/>
  <c r="U41" s="1"/>
  <c r="U43" s="1"/>
  <c r="U44" s="1"/>
  <c r="U12" i="49"/>
  <c r="U13" s="1"/>
  <c r="V23" i="52"/>
  <c r="V26" s="1"/>
  <c r="V27" s="1"/>
  <c r="V29" s="1"/>
  <c r="V39"/>
  <c r="U4" i="51" s="1"/>
  <c r="X44" i="23"/>
  <c r="X54" s="1"/>
  <c r="X45" l="1"/>
  <c r="Y43" s="1"/>
  <c r="X55"/>
  <c r="U14" i="51"/>
  <c r="U10"/>
  <c r="U11" s="1"/>
  <c r="V8" i="49"/>
  <c r="V6" i="51" s="1"/>
  <c r="W27" i="9"/>
  <c r="W24" i="52" s="1"/>
  <c r="V25" i="8"/>
  <c r="V26"/>
  <c r="U15" i="49"/>
  <c r="U18" s="1"/>
  <c r="U19" s="1"/>
  <c r="V42" i="9" s="1"/>
  <c r="V43" s="1"/>
  <c r="U13" i="51" l="1"/>
  <c r="U16" s="1"/>
  <c r="U17" s="1"/>
  <c r="V40" i="52" s="1"/>
  <c r="V41" s="1"/>
  <c r="V43" s="1"/>
  <c r="V44" s="1"/>
  <c r="Y44" i="23"/>
  <c r="Y54" s="1"/>
  <c r="Y45"/>
  <c r="V28" i="8"/>
  <c r="V32" s="1"/>
  <c r="V34" s="1"/>
  <c r="V35" s="1"/>
  <c r="V36" s="1"/>
  <c r="W24" i="9" s="1"/>
  <c r="W21" i="52" l="1"/>
  <c r="W26" i="9"/>
  <c r="W41"/>
  <c r="V6" i="49" s="1"/>
  <c r="X25" i="52"/>
  <c r="Y55" i="23"/>
  <c r="X42" i="52" s="1"/>
  <c r="X27" i="9"/>
  <c r="X24" i="52" s="1"/>
  <c r="W8" i="49"/>
  <c r="W6" i="51" s="1"/>
  <c r="W26" i="8"/>
  <c r="W25"/>
  <c r="W28" l="1"/>
  <c r="W32" s="1"/>
  <c r="W34" s="1"/>
  <c r="W35" s="1"/>
  <c r="W36" s="1"/>
  <c r="X24" i="9" s="1"/>
  <c r="X21" i="52" s="1"/>
  <c r="V12" i="49"/>
  <c r="V13" s="1"/>
  <c r="V16"/>
  <c r="W23" i="52"/>
  <c r="W26" s="1"/>
  <c r="W27" s="1"/>
  <c r="W29" s="1"/>
  <c r="C29" s="1"/>
  <c r="C30" s="1"/>
  <c r="W39"/>
  <c r="V4" i="51" s="1"/>
  <c r="X26" i="9" l="1"/>
  <c r="X41"/>
  <c r="W6" i="49" s="1"/>
  <c r="W12" s="1"/>
  <c r="W13" s="1"/>
  <c r="W15" s="1"/>
  <c r="V15"/>
  <c r="V18" s="1"/>
  <c r="V19" s="1"/>
  <c r="W42" i="9" s="1"/>
  <c r="W43" s="1"/>
  <c r="V14" i="51"/>
  <c r="V10"/>
  <c r="V11" s="1"/>
  <c r="W16" i="49"/>
  <c r="X23" i="52"/>
  <c r="X26" s="1"/>
  <c r="X27" s="1"/>
  <c r="X29" s="1"/>
  <c r="X39"/>
  <c r="W4" i="51" s="1"/>
  <c r="W18" i="49" l="1"/>
  <c r="W19" s="1"/>
  <c r="X42" i="9" s="1"/>
  <c r="X43" s="1"/>
  <c r="W10" i="51"/>
  <c r="W14"/>
  <c r="W11"/>
  <c r="W13" s="1"/>
  <c r="V13"/>
  <c r="V16" s="1"/>
  <c r="V17" s="1"/>
  <c r="W40" i="52" s="1"/>
  <c r="W41" s="1"/>
  <c r="W43" s="1"/>
  <c r="W44" s="1"/>
  <c r="W16" i="51" l="1"/>
  <c r="W17" s="1"/>
  <c r="X40" i="52" s="1"/>
  <c r="X41" s="1"/>
  <c r="X43" s="1"/>
  <c r="X44" s="1"/>
  <c r="C45" s="1"/>
  <c r="D28" i="9"/>
  <c r="E28"/>
  <c r="F28"/>
  <c r="G28"/>
  <c r="H28"/>
  <c r="I28"/>
  <c r="J28"/>
  <c r="K28"/>
  <c r="L28"/>
  <c r="M28"/>
  <c r="N28"/>
  <c r="O28"/>
  <c r="P28"/>
  <c r="Q28"/>
  <c r="R28"/>
  <c r="S28"/>
  <c r="T28"/>
  <c r="U28"/>
  <c r="V28"/>
  <c r="W28"/>
  <c r="X28"/>
  <c r="D29"/>
  <c r="E29"/>
  <c r="F29"/>
  <c r="G29"/>
  <c r="H29"/>
  <c r="I29"/>
  <c r="J29"/>
  <c r="K29"/>
  <c r="L29"/>
  <c r="M29"/>
  <c r="N29"/>
  <c r="O29"/>
  <c r="P29"/>
  <c r="Q29"/>
  <c r="R29"/>
  <c r="S29"/>
  <c r="T29"/>
  <c r="U29"/>
  <c r="V29"/>
  <c r="W29"/>
  <c r="X29"/>
  <c r="C31"/>
  <c r="D31"/>
  <c r="E31"/>
  <c r="F31"/>
  <c r="G31"/>
  <c r="H31"/>
  <c r="I31"/>
  <c r="J31"/>
  <c r="K31"/>
  <c r="L31"/>
  <c r="M31"/>
  <c r="N31"/>
  <c r="O31"/>
  <c r="P31"/>
  <c r="Q31"/>
  <c r="R31"/>
  <c r="S31"/>
  <c r="T31"/>
  <c r="U31"/>
  <c r="V31"/>
  <c r="W31"/>
  <c r="X31"/>
  <c r="C32"/>
  <c r="D44"/>
  <c r="E44"/>
  <c r="F44"/>
  <c r="G44"/>
  <c r="H44"/>
  <c r="I44"/>
  <c r="J44"/>
  <c r="K44"/>
  <c r="L44"/>
  <c r="M44"/>
  <c r="N44"/>
  <c r="O44"/>
  <c r="P44"/>
  <c r="Q44"/>
  <c r="R44"/>
  <c r="S44"/>
  <c r="T44"/>
  <c r="U44"/>
  <c r="V44"/>
  <c r="W44"/>
  <c r="X44"/>
  <c r="D45"/>
  <c r="E45"/>
  <c r="F45"/>
  <c r="G45"/>
  <c r="H45"/>
  <c r="I45"/>
  <c r="J45"/>
  <c r="K45"/>
  <c r="L45"/>
  <c r="M45"/>
  <c r="N45"/>
  <c r="O45"/>
  <c r="P45"/>
  <c r="Q45"/>
  <c r="R45"/>
  <c r="S45"/>
  <c r="T45"/>
  <c r="U45"/>
  <c r="V45"/>
  <c r="W45"/>
  <c r="X45"/>
  <c r="C46"/>
  <c r="D49"/>
  <c r="E49"/>
  <c r="F49"/>
  <c r="G49"/>
  <c r="H49"/>
  <c r="I49"/>
  <c r="J49"/>
  <c r="K49"/>
  <c r="L49"/>
  <c r="M49"/>
  <c r="N49"/>
  <c r="O49"/>
  <c r="P49"/>
  <c r="Q49"/>
  <c r="R49"/>
  <c r="S49"/>
  <c r="T49"/>
  <c r="U49"/>
  <c r="V49"/>
  <c r="W49"/>
  <c r="D50"/>
  <c r="E50"/>
  <c r="F50"/>
  <c r="G50"/>
  <c r="H50"/>
  <c r="I50"/>
  <c r="J50"/>
  <c r="K50"/>
  <c r="L50"/>
  <c r="M50"/>
  <c r="N50"/>
  <c r="O50"/>
  <c r="P50"/>
  <c r="Q50"/>
  <c r="R50"/>
  <c r="S50"/>
  <c r="T50"/>
  <c r="U50"/>
  <c r="V50"/>
  <c r="W50"/>
  <c r="X50"/>
  <c r="D51"/>
  <c r="E51"/>
  <c r="F51"/>
  <c r="G51"/>
  <c r="H51"/>
  <c r="I51"/>
  <c r="J51"/>
  <c r="K51"/>
  <c r="L51"/>
  <c r="M51"/>
  <c r="N51"/>
  <c r="O51"/>
  <c r="P51"/>
  <c r="Q51"/>
  <c r="R51"/>
  <c r="S51"/>
  <c r="T51"/>
  <c r="U51"/>
  <c r="V51"/>
  <c r="W51"/>
  <c r="X51"/>
  <c r="H8" i="45"/>
  <c r="H11"/>
</calcChain>
</file>

<file path=xl/comments1.xml><?xml version="1.0" encoding="utf-8"?>
<comments xmlns="http://schemas.openxmlformats.org/spreadsheetml/2006/main">
  <authors>
    <author>MR</author>
  </authors>
  <commentList>
    <comment ref="C13" authorId="0">
      <text>
        <r>
          <rPr>
            <b/>
            <sz val="8"/>
            <color indexed="81"/>
            <rFont val="Tahoma"/>
            <family val="2"/>
          </rPr>
          <t>The Debt Equity ratio has been calculated as per Chapter 6, Page 7 of TEVR for CFL</t>
        </r>
      </text>
    </comment>
    <comment ref="C31" authorId="0">
      <text>
        <r>
          <rPr>
            <b/>
            <sz val="8"/>
            <color indexed="81"/>
            <rFont val="Tahoma"/>
            <family val="2"/>
          </rPr>
          <t>For 8 months of operation</t>
        </r>
      </text>
    </comment>
    <comment ref="C35" authorId="0">
      <text>
        <r>
          <rPr>
            <b/>
            <sz val="8"/>
            <color indexed="81"/>
            <rFont val="Tahoma"/>
            <family val="2"/>
          </rPr>
          <t>For 8 months of operation</t>
        </r>
      </text>
    </comment>
  </commentList>
</comments>
</file>

<file path=xl/comments2.xml><?xml version="1.0" encoding="utf-8"?>
<comments xmlns="http://schemas.openxmlformats.org/spreadsheetml/2006/main">
  <authors>
    <author>MR</author>
  </authors>
  <commentList>
    <comment ref="C9" authorId="0">
      <text>
        <r>
          <rPr>
            <b/>
            <sz val="8"/>
            <color indexed="81"/>
            <rFont val="Tahoma"/>
            <family val="2"/>
          </rPr>
          <t>Incl VAT and Packaging charges as specified in Quotations given by Precision Engineering Works</t>
        </r>
      </text>
    </comment>
  </commentList>
</comments>
</file>

<file path=xl/comments3.xml><?xml version="1.0" encoding="utf-8"?>
<comments xmlns="http://schemas.openxmlformats.org/spreadsheetml/2006/main">
  <authors>
    <author>MR</author>
  </authors>
  <commentList>
    <comment ref="C22" authorId="0">
      <text>
        <r>
          <rPr>
            <b/>
            <sz val="8"/>
            <color indexed="81"/>
            <rFont val="Tahoma"/>
            <family val="2"/>
          </rPr>
          <t>For 8 Months of operation</t>
        </r>
      </text>
    </comment>
  </commentList>
</comments>
</file>

<file path=xl/comments4.xml><?xml version="1.0" encoding="utf-8"?>
<comments xmlns="http://schemas.openxmlformats.org/spreadsheetml/2006/main">
  <authors>
    <author>MR</author>
  </authors>
  <commentList>
    <comment ref="D9" authorId="0">
      <text>
        <r>
          <rPr>
            <b/>
            <sz val="8"/>
            <color indexed="81"/>
            <rFont val="Tahoma"/>
            <family val="2"/>
          </rPr>
          <t>For 8 months of operation</t>
        </r>
      </text>
    </comment>
    <comment ref="X9" authorId="0">
      <text>
        <r>
          <rPr>
            <b/>
            <sz val="8"/>
            <color indexed="81"/>
            <rFont val="Tahoma"/>
            <family val="2"/>
          </rPr>
          <t>For 4 months of operation</t>
        </r>
      </text>
    </comment>
    <comment ref="E11" authorId="0">
      <text>
        <r>
          <rPr>
            <b/>
            <sz val="8"/>
            <color indexed="81"/>
            <rFont val="Tahoma"/>
            <family val="2"/>
          </rPr>
          <t>Commissioning of II line January 2011</t>
        </r>
      </text>
    </comment>
    <comment ref="E12" authorId="0">
      <text>
        <r>
          <rPr>
            <b/>
            <sz val="8"/>
            <color indexed="81"/>
            <rFont val="Tahoma"/>
            <family val="2"/>
          </rPr>
          <t>Commissioning of II line January 2011</t>
        </r>
      </text>
    </comment>
    <comment ref="D21" authorId="0">
      <text>
        <r>
          <rPr>
            <b/>
            <sz val="8"/>
            <color indexed="81"/>
            <rFont val="Tahoma"/>
            <family val="2"/>
          </rPr>
          <t>For 8 months of operation;
Debt repayed in 7 years</t>
        </r>
      </text>
    </comment>
    <comment ref="A30" authorId="0">
      <text>
        <r>
          <rPr>
            <b/>
            <sz val="8"/>
            <color indexed="81"/>
            <rFont val="Tahoma"/>
            <family val="2"/>
          </rPr>
          <t>http://www.rbi.org.in/scripts/BS_SpeechesView.aspx?Id=364</t>
        </r>
      </text>
    </comment>
  </commentList>
</comments>
</file>

<file path=xl/comments5.xml><?xml version="1.0" encoding="utf-8"?>
<comments xmlns="http://schemas.openxmlformats.org/spreadsheetml/2006/main">
  <authors>
    <author>MR</author>
  </authors>
  <commentList>
    <comment ref="C52" authorId="0">
      <text>
        <r>
          <rPr>
            <b/>
            <sz val="8"/>
            <color indexed="81"/>
            <rFont val="Tahoma"/>
            <family val="2"/>
          </rPr>
          <t>3.5 hours of operating in a day</t>
        </r>
      </text>
    </comment>
    <comment ref="C53" authorId="0">
      <text>
        <r>
          <rPr>
            <sz val="8"/>
            <color indexed="81"/>
            <rFont val="Tahoma"/>
            <family val="2"/>
          </rPr>
          <t>Transmission loss = 10%</t>
        </r>
      </text>
    </comment>
  </commentList>
</comments>
</file>

<file path=xl/comments6.xml><?xml version="1.0" encoding="utf-8"?>
<comments xmlns="http://schemas.openxmlformats.org/spreadsheetml/2006/main">
  <authors>
    <author>MR</author>
  </authors>
  <commentList>
    <comment ref="C17" authorId="0">
      <text>
        <r>
          <rPr>
            <b/>
            <sz val="8"/>
            <color indexed="81"/>
            <rFont val="Tahoma"/>
            <family val="2"/>
          </rPr>
          <t>For 8 Months of operation</t>
        </r>
      </text>
    </comment>
  </commentList>
</comments>
</file>

<file path=xl/comments7.xml><?xml version="1.0" encoding="utf-8"?>
<comments xmlns="http://schemas.openxmlformats.org/spreadsheetml/2006/main">
  <authors>
    <author>MR</author>
  </authors>
  <commentList>
    <comment ref="D1" authorId="0">
      <text>
        <r>
          <rPr>
            <b/>
            <sz val="8"/>
            <color indexed="81"/>
            <rFont val="Tahoma"/>
            <family val="2"/>
          </rPr>
          <t>For 8 months of operation</t>
        </r>
      </text>
    </comment>
    <comment ref="X1" authorId="0">
      <text>
        <r>
          <rPr>
            <b/>
            <sz val="8"/>
            <color indexed="81"/>
            <rFont val="Tahoma"/>
            <family val="2"/>
          </rPr>
          <t>For 4 months of operation</t>
        </r>
      </text>
    </comment>
  </commentList>
</comments>
</file>

<file path=xl/comments8.xml><?xml version="1.0" encoding="utf-8"?>
<comments xmlns="http://schemas.openxmlformats.org/spreadsheetml/2006/main">
  <authors>
    <author>MR</author>
  </authors>
  <commentList>
    <comment ref="D3" authorId="0">
      <text>
        <r>
          <rPr>
            <b/>
            <sz val="8"/>
            <color indexed="81"/>
            <rFont val="Tahoma"/>
            <family val="2"/>
          </rPr>
          <t>For 8 months of operation in first year</t>
        </r>
      </text>
    </comment>
    <comment ref="X3" authorId="0">
      <text>
        <r>
          <rPr>
            <b/>
            <sz val="8"/>
            <color indexed="81"/>
            <rFont val="Tahoma"/>
            <family val="2"/>
          </rPr>
          <t>For 4 months of operation</t>
        </r>
      </text>
    </comment>
    <comment ref="D14" authorId="0">
      <text>
        <r>
          <rPr>
            <b/>
            <sz val="8"/>
            <color indexed="81"/>
            <rFont val="Tahoma"/>
            <family val="2"/>
          </rPr>
          <t>For 8 months of operation in first year</t>
        </r>
      </text>
    </comment>
    <comment ref="A25" authorId="0">
      <text>
        <r>
          <rPr>
            <b/>
            <sz val="8"/>
            <color indexed="81"/>
            <rFont val="Tahoma"/>
            <family val="2"/>
          </rPr>
          <t>http://www.rbi.org.in/scripts/BS_SpeechesView.aspx?Id=364</t>
        </r>
      </text>
    </comment>
  </commentList>
</comments>
</file>

<file path=xl/sharedStrings.xml><?xml version="1.0" encoding="utf-8"?>
<sst xmlns="http://schemas.openxmlformats.org/spreadsheetml/2006/main" count="839" uniqueCount="300">
  <si>
    <t>Rs in Lacs</t>
  </si>
  <si>
    <t>Fiscal year</t>
  </si>
  <si>
    <t>FY01</t>
  </si>
  <si>
    <t>FY02</t>
  </si>
  <si>
    <t>FY03</t>
  </si>
  <si>
    <t>FY04</t>
  </si>
  <si>
    <t>FY05</t>
  </si>
  <si>
    <t>FY06</t>
  </si>
  <si>
    <t>FY07</t>
  </si>
  <si>
    <t>FY08</t>
  </si>
  <si>
    <t>FY09</t>
  </si>
  <si>
    <t>FY10</t>
  </si>
  <si>
    <t>FY11</t>
  </si>
  <si>
    <t>FY12</t>
  </si>
  <si>
    <t>FY13</t>
  </si>
  <si>
    <t>FY14</t>
  </si>
  <si>
    <t>FY15</t>
  </si>
  <si>
    <t>FY16</t>
  </si>
  <si>
    <t>FY17</t>
  </si>
  <si>
    <t>FY18</t>
  </si>
  <si>
    <t>FY19</t>
  </si>
  <si>
    <t>FY20</t>
  </si>
  <si>
    <t>Description</t>
  </si>
  <si>
    <t>Operation &amp; Maintenance</t>
  </si>
  <si>
    <t>Insurance</t>
  </si>
  <si>
    <t>Total operating  Expenses</t>
  </si>
  <si>
    <t>Salvage Value</t>
  </si>
  <si>
    <t>Depreciation</t>
  </si>
  <si>
    <t>Depreciation Details</t>
  </si>
  <si>
    <t>Project Cost</t>
  </si>
  <si>
    <t>Less:</t>
  </si>
  <si>
    <t>Depreciation as per Income tax Act</t>
  </si>
  <si>
    <t>Total</t>
  </si>
  <si>
    <t xml:space="preserve">Project Cost </t>
  </si>
  <si>
    <t>No of CFLs (Single)</t>
  </si>
  <si>
    <t>Buildings</t>
  </si>
  <si>
    <t>Plant &amp; Machinery</t>
  </si>
  <si>
    <t>Misc fixed assets</t>
  </si>
  <si>
    <t>Land</t>
  </si>
  <si>
    <t>Land Cost</t>
  </si>
  <si>
    <t>Operating &amp; Maintenance cost</t>
  </si>
  <si>
    <t>Raw material</t>
  </si>
  <si>
    <t>Consumables and packing material</t>
  </si>
  <si>
    <t>Salaries &amp; Wages</t>
  </si>
  <si>
    <t>Power &amp; fuel</t>
  </si>
  <si>
    <t>Repairs and maintenance</t>
  </si>
  <si>
    <t>Other mfg. expense</t>
  </si>
  <si>
    <t>No of CFLs (Double)</t>
  </si>
  <si>
    <t>Selling Price/bulb (Single)</t>
  </si>
  <si>
    <t>Selling Price/bulb (Double)</t>
  </si>
  <si>
    <t>Depreciation as per Companies Act</t>
  </si>
  <si>
    <t>Other Misc assets</t>
  </si>
  <si>
    <t>Opening value</t>
  </si>
  <si>
    <t>Closing value</t>
  </si>
  <si>
    <t>Selling &amp; distribution cost @ 7.5% of sales</t>
  </si>
  <si>
    <t>Interest on term loan</t>
  </si>
  <si>
    <t>Interest on w/c</t>
  </si>
  <si>
    <t>Total cost of production</t>
  </si>
  <si>
    <t xml:space="preserve">Administration charges </t>
  </si>
  <si>
    <t>Equity</t>
  </si>
  <si>
    <t>Debt</t>
  </si>
  <si>
    <t>Raw material cost/single CFL</t>
  </si>
  <si>
    <t>Raw material cost/double CFL</t>
  </si>
  <si>
    <t>Depreciation calculation</t>
  </si>
  <si>
    <t>Depreciation as per Income tax act, 1961</t>
  </si>
  <si>
    <t>Depreciation as per Companies act, 1956</t>
  </si>
  <si>
    <t>Plant &amp; machinery</t>
  </si>
  <si>
    <t>Cost</t>
  </si>
  <si>
    <t>Administration charges</t>
  </si>
  <si>
    <t>Selling &amp; distribution expense</t>
  </si>
  <si>
    <t>Interest on working capital</t>
  </si>
  <si>
    <t>Civil works</t>
  </si>
  <si>
    <t>Provision for contingencies</t>
  </si>
  <si>
    <t>Deposits</t>
  </si>
  <si>
    <t>Pre operative expenses</t>
  </si>
  <si>
    <t>Margin for working capital</t>
  </si>
  <si>
    <t>Cost of raw material-single</t>
  </si>
  <si>
    <t>Cost of raw material-double</t>
  </si>
  <si>
    <t>SLM method</t>
  </si>
  <si>
    <t>Operating expense (INR)</t>
  </si>
  <si>
    <t>Bulbs/hr</t>
  </si>
  <si>
    <t>Raw material cost/bulb</t>
  </si>
  <si>
    <t>Consumables and packing material/bulb</t>
  </si>
  <si>
    <t>Power &amp; fuel/bulb</t>
  </si>
  <si>
    <t>Manufacturing expense/bulb</t>
  </si>
  <si>
    <t>0.7 lakhs per month + 10% increment</t>
  </si>
  <si>
    <t>Selling &amp; distribution expense/bulb</t>
  </si>
  <si>
    <t>Operating &amp; Maintenance cost
(lakh INR)</t>
  </si>
  <si>
    <t>No of bulbs/yr</t>
  </si>
  <si>
    <t>No of bulbs</t>
  </si>
  <si>
    <t>Selling &amp; distribution cost</t>
  </si>
  <si>
    <t>Repairs and maintenance (lakhs/annum)</t>
  </si>
  <si>
    <t>Equity to debt ratio</t>
  </si>
  <si>
    <t>1:2</t>
  </si>
  <si>
    <t>All figures are in lakhs</t>
  </si>
  <si>
    <t>Salaries &amp; Wages/bulb</t>
  </si>
  <si>
    <t>Project cost (INR lakhs)</t>
  </si>
  <si>
    <t>Selling price of Single CFL</t>
  </si>
  <si>
    <t>Selling price of Double CFL</t>
  </si>
  <si>
    <t>Total cost incurred by BGPL</t>
  </si>
  <si>
    <t>Unit cost of CFL production</t>
  </si>
  <si>
    <t>INR/CFL</t>
  </si>
  <si>
    <t>INR lakhs</t>
  </si>
  <si>
    <t>Present Value</t>
  </si>
  <si>
    <t>Revenue from sales</t>
  </si>
  <si>
    <t>UOM</t>
  </si>
  <si>
    <t>Unit cost of production for CFLs</t>
  </si>
  <si>
    <t>lakhs CFLs/annum</t>
  </si>
  <si>
    <t>Assumptions</t>
  </si>
  <si>
    <t xml:space="preserve">Total cost of production incurred </t>
  </si>
  <si>
    <t>Unit cost of production for ILs</t>
  </si>
  <si>
    <t>INR/IL</t>
  </si>
  <si>
    <t>Total rated manufacturing capacity</t>
  </si>
  <si>
    <t>CDM revenues</t>
  </si>
  <si>
    <t>CERs due to Replacement of 1 bulb</t>
  </si>
  <si>
    <t>CER per year</t>
  </si>
  <si>
    <t>CDM revenues per bulb</t>
  </si>
  <si>
    <t>Present value</t>
  </si>
  <si>
    <t>Net Present value (INR/CFL) with CDM</t>
  </si>
  <si>
    <t>2 lakhs per month + 10% increment
As per the Techno-economic viability report</t>
  </si>
  <si>
    <t>Capacity utilization factor</t>
  </si>
  <si>
    <t>PBT</t>
  </si>
  <si>
    <t>Tax</t>
  </si>
  <si>
    <t>Tax rate</t>
  </si>
  <si>
    <t>Net cash flow</t>
  </si>
  <si>
    <t>Profit after tax</t>
  </si>
  <si>
    <t>IRR</t>
  </si>
  <si>
    <t>Excise duty @ 8%</t>
  </si>
  <si>
    <t>Gross sales</t>
  </si>
  <si>
    <t>VAT @ 12.5%</t>
  </si>
  <si>
    <t>Tax Calculations</t>
  </si>
  <si>
    <t>Financial year ending</t>
  </si>
  <si>
    <t>Profit Before Tax</t>
  </si>
  <si>
    <t xml:space="preserve">Add: </t>
  </si>
  <si>
    <t>Taxable Profit</t>
  </si>
  <si>
    <t>Tax Payable (@33.99%)(A)</t>
  </si>
  <si>
    <t>MAT @ 11.33% (B)</t>
  </si>
  <si>
    <t>Net Tax Payable</t>
  </si>
  <si>
    <t>Tax payable</t>
  </si>
  <si>
    <t>Cumulative profit</t>
  </si>
  <si>
    <t>MAT</t>
  </si>
  <si>
    <t>Percentage of double type</t>
  </si>
  <si>
    <t>Percentage of single type</t>
  </si>
  <si>
    <t>IRR calculations</t>
  </si>
  <si>
    <t>PBDIT</t>
  </si>
  <si>
    <t>Selling price of Ils</t>
  </si>
  <si>
    <t>Annexure 2 page 35 of TEVR</t>
  </si>
  <si>
    <t>Source: Page 32 of TEVR</t>
  </si>
  <si>
    <t>Capacity Utilization Factor (Source: Page 32 of TEVR)</t>
  </si>
  <si>
    <t>Source for input values: Prefeasibility report for ILs</t>
  </si>
  <si>
    <t>Present cost of manufacturing value</t>
  </si>
  <si>
    <t>Sensitivity Analysis</t>
  </si>
  <si>
    <t>Production Capacity</t>
  </si>
  <si>
    <t>+10%</t>
  </si>
  <si>
    <t>Raw material price</t>
  </si>
  <si>
    <t>Actuals</t>
  </si>
  <si>
    <t>Actuals - 15%
Single &amp; 85% Double</t>
  </si>
  <si>
    <t>IRR of CFLs</t>
  </si>
  <si>
    <t>IRR of IL</t>
  </si>
  <si>
    <t>Actual</t>
  </si>
  <si>
    <t>Present Value of Manufacuting CFL</t>
  </si>
  <si>
    <t>Present Value of Manufacuting IL</t>
  </si>
  <si>
    <t>Breakup of the incurred cost is given in Annexure 3 of technical analysis, Annexure 3 page 36 of TEVR</t>
  </si>
  <si>
    <t>Chapter 12, Page 22 of TEVR</t>
  </si>
  <si>
    <t>Wattage of CFL installed</t>
  </si>
  <si>
    <t>Wattage of IL replaced/avoided</t>
  </si>
  <si>
    <t>Operating hours</t>
  </si>
  <si>
    <t>Energy savings</t>
  </si>
  <si>
    <t>MWh</t>
  </si>
  <si>
    <t>W</t>
  </si>
  <si>
    <t>hr</t>
  </si>
  <si>
    <t>Case: 9W CFL (which is most conservative scenario and operating life of 10000 hrs)</t>
  </si>
  <si>
    <t>Number of years of operation</t>
  </si>
  <si>
    <t>Years</t>
  </si>
  <si>
    <t>Number of hours of operation in 8th year</t>
  </si>
  <si>
    <t>Page 4, Bachat Lamp Yojana</t>
  </si>
  <si>
    <t>Debt component</t>
  </si>
  <si>
    <t>Total debt amount</t>
  </si>
  <si>
    <t>Principle amount payed</t>
  </si>
  <si>
    <t>Principle amount remaining</t>
  </si>
  <si>
    <t>Unit cost of IL production</t>
  </si>
  <si>
    <t>Revenue from CDM</t>
  </si>
  <si>
    <t>Year 1</t>
  </si>
  <si>
    <t>Year 2</t>
  </si>
  <si>
    <t>Year 3</t>
  </si>
  <si>
    <t>For 8 months of operation</t>
  </si>
  <si>
    <t>YoY escalation</t>
  </si>
  <si>
    <t>Year 4</t>
  </si>
  <si>
    <t>2.5% of fixed assets; Chapter 12, Page 22 of TEVR</t>
  </si>
  <si>
    <t>Remarks / Source of inputs</t>
  </si>
  <si>
    <t>Bulbs/annum</t>
  </si>
  <si>
    <t>YoY Escallation</t>
  </si>
  <si>
    <t>Emission factor</t>
  </si>
  <si>
    <t>CERs</t>
  </si>
  <si>
    <t>CER price</t>
  </si>
  <si>
    <t>Discount rate @8%</t>
  </si>
  <si>
    <t>4% of gross sales; Chapter 12, Page 22 of TEVR</t>
  </si>
  <si>
    <t>Taken as 3% of gross sales; Chapter 12, Page 22 of TEVR</t>
  </si>
  <si>
    <t>Building</t>
  </si>
  <si>
    <t>Other misc assets</t>
  </si>
  <si>
    <t>7.5% of the gross sales; Chapter 12, Page 22 of TEVR</t>
  </si>
  <si>
    <t>Excise duty</t>
  </si>
  <si>
    <t>VAT</t>
  </si>
  <si>
    <t>Percentage of single type bulb</t>
  </si>
  <si>
    <t>Percentage of double type bulb</t>
  </si>
  <si>
    <t>Number of lamps per hour</t>
  </si>
  <si>
    <t>Number of operating hours per day</t>
  </si>
  <si>
    <t>Number of operating days per year</t>
  </si>
  <si>
    <t>(Rs in lacs)</t>
  </si>
  <si>
    <t>Norms</t>
  </si>
  <si>
    <t>1 1/2 months</t>
  </si>
  <si>
    <t>2 weeks</t>
  </si>
  <si>
    <t xml:space="preserve"> 2 weeks</t>
  </si>
  <si>
    <t>Opening</t>
  </si>
  <si>
    <t>Total depreciation as per companies act</t>
  </si>
  <si>
    <t>For 8 Months</t>
  </si>
  <si>
    <t>Depreciation as per IT Act</t>
  </si>
  <si>
    <t>Total depreciation as per IT act</t>
  </si>
  <si>
    <t>Annexure 7A, page 41 of TEVR</t>
  </si>
  <si>
    <t>LC requirement</t>
  </si>
  <si>
    <t>% of goods bought through LC</t>
  </si>
  <si>
    <t>Computation of Working Capital</t>
  </si>
  <si>
    <t>Bank Finance</t>
  </si>
  <si>
    <t>Interest on the above @ 13%</t>
  </si>
  <si>
    <t>ITEM</t>
  </si>
  <si>
    <t>Raw materials</t>
  </si>
  <si>
    <t xml:space="preserve">Work in process </t>
  </si>
  <si>
    <t xml:space="preserve">Finished goods </t>
  </si>
  <si>
    <t>Sundry debtors</t>
  </si>
  <si>
    <t>Sundry creditors</t>
  </si>
  <si>
    <t>LC Creditors</t>
  </si>
  <si>
    <t>Net current assets</t>
  </si>
  <si>
    <t>Less: Margin</t>
  </si>
  <si>
    <t>1 month</t>
  </si>
  <si>
    <t>FY21</t>
  </si>
  <si>
    <t>1.61:1</t>
  </si>
  <si>
    <t>Working capital calculations</t>
  </si>
  <si>
    <t>Net positive cash flow</t>
  </si>
  <si>
    <t>Salvage value calculation</t>
  </si>
  <si>
    <t>G-Sec Rates = 7.9%</t>
  </si>
  <si>
    <t>Chapter 6, Page 7 of TEVR</t>
  </si>
  <si>
    <t>Annexure 1, Page 32 of TEVR</t>
  </si>
  <si>
    <t>For 2nd year after 5% escalation</t>
  </si>
  <si>
    <t>Annexure 3, Page 36 of TEVR</t>
  </si>
  <si>
    <t>Rule 5, Appendix I of Income Tax Act 1961, Chapter 12, Page 22 of TEVR</t>
  </si>
  <si>
    <t>Schedule XIV of The Companies Act 1956, Chapter 12, Page 22 of TEVR</t>
  </si>
  <si>
    <t>LC utilization considered in first year</t>
  </si>
  <si>
    <t>Annexure 7, page 40 of TEVR</t>
  </si>
  <si>
    <t>LC utilization considered from second year</t>
  </si>
  <si>
    <t>Page 3, http://www.incometaxindia.gov.in/Archive/Filing_Your_Tax_Return.pdf</t>
  </si>
  <si>
    <t>Page 4 of http://indiabudget.nic.in/ub2007-08/frbm/frbm3.pdf</t>
  </si>
  <si>
    <t>Page 11, https://www.apcommercialtaxes.gov.in/allacts/vat/whitepaper_VAT.doc</t>
  </si>
  <si>
    <t>Exchange rate, Euro - INR</t>
  </si>
  <si>
    <t>Average value for exchange from 15 Feb 2008 to 15 March 2008
http://www.rbi.org.in/scripts/ReferenceRateArchive.aspx</t>
  </si>
  <si>
    <t>Page 8 of Prefeasibility report for ILs</t>
  </si>
  <si>
    <t>For 20 hours and 300 days of operation</t>
  </si>
  <si>
    <t>Rule 5, Appendix I of Income Tax Act 1961</t>
  </si>
  <si>
    <t>Schedule XIV of The Companies Act 1956</t>
  </si>
  <si>
    <t>Page 13 of Prefeasibility report for ILs</t>
  </si>
  <si>
    <t>Page 8, http://www.eex.com/en/document/32370/presentation_cer_futures%20%27english%28.pdf</t>
  </si>
  <si>
    <t>Page 22 of Prefeasibility report for ILs</t>
  </si>
  <si>
    <t>for 8 months of operation</t>
  </si>
  <si>
    <t>13% interest rate, the loan will be paid in 6 years; Page 22 of Prefeasibility report for ILs</t>
  </si>
  <si>
    <t>13% interest rate; Page 22 of Prefeasibility report for ILs</t>
  </si>
  <si>
    <t>Similar to assumption made for CFLs</t>
  </si>
  <si>
    <t>Annexure 4, page 36 of Prefeasibility report for ILs</t>
  </si>
  <si>
    <t>Percentage through retail</t>
  </si>
  <si>
    <t>Line 1</t>
  </si>
  <si>
    <t>Line 2</t>
  </si>
  <si>
    <t>Supporting Document</t>
  </si>
  <si>
    <t>Total project cost</t>
  </si>
  <si>
    <t>Total closing value fo the asssets</t>
  </si>
  <si>
    <t>Packaeging charges on Plant &amp; Machinery</t>
  </si>
  <si>
    <t>Percentage of CFLs to be distributed in PoA programme</t>
  </si>
  <si>
    <t>Chapter 12, Page 22 of TEVR; Quotation received for Line 1 by Precesion Engineering Works dated 21 November 2007</t>
  </si>
  <si>
    <t>Salvage value</t>
  </si>
  <si>
    <t>Misc fixed assets (material handling, Fork lift m/c, pallet movement hydraulic, Other misc m/c, Maintenance m/c, Fire fighting)</t>
  </si>
  <si>
    <t>Administration charges (incl stationary, canteen services)</t>
  </si>
  <si>
    <t xml:space="preserve">Quotation received for Line 2 by Precesion Engineering Works dated 14 September 2009; Capitalization of Line 2 provided by the Charted accountant </t>
  </si>
  <si>
    <t>IRR of CFL</t>
  </si>
  <si>
    <t>Conservative scenario of selling 100% in retail</t>
  </si>
  <si>
    <t>Annexure 1, Page 32 of TEVR; Board meeting dated 22 June 2009</t>
  </si>
  <si>
    <t>CEA Emssion factor database, version 7</t>
  </si>
  <si>
    <t>TEVR= Techno- Economic Vaibility Report</t>
  </si>
  <si>
    <t>Page-22, Pre-feasibility report of IL</t>
  </si>
  <si>
    <t>Annexure 1, Page 32 of TEVR This production capacity does not match with the production capacity of the CFL manufacturing facility set up by BGPL. Hence, the cost of manufacturing and distributing one CFL will be compared with the cost of manufacturing and distributing one IL</t>
  </si>
  <si>
    <t>PES Quotation dated 16/01/2008</t>
  </si>
  <si>
    <t>Production capacity</t>
  </si>
  <si>
    <t>Project cost</t>
  </si>
  <si>
    <t>Sensitivity Analysis Sheet</t>
  </si>
  <si>
    <t>Project Cost Sheet</t>
  </si>
  <si>
    <t>Operation and Working Capital Sheet</t>
  </si>
  <si>
    <t>Depreciation Sheet</t>
  </si>
  <si>
    <t>Profit and Loss Sheet</t>
  </si>
  <si>
    <t>Value</t>
  </si>
  <si>
    <t>Total Project Cost</t>
  </si>
  <si>
    <t>Source</t>
  </si>
  <si>
    <t>S. No</t>
  </si>
  <si>
    <t>13% interest rate, the loan will be paid in 7 years; Chapter 12, Page 22 of TEVR</t>
  </si>
  <si>
    <t>Chapter 12, Page 22 of TEVR; Interest rate, computation of working capital as shown in Annexure 7 of technical analysis report</t>
  </si>
</sst>
</file>

<file path=xl/styles.xml><?xml version="1.0" encoding="utf-8"?>
<styleSheet xmlns="http://schemas.openxmlformats.org/spreadsheetml/2006/main">
  <numFmts count="4">
    <numFmt numFmtId="8" formatCode="&quot;$&quot;#,##0.00_);[Red]\(&quot;$&quot;#,##0.00\)"/>
    <numFmt numFmtId="164" formatCode="#,##0.000"/>
    <numFmt numFmtId="165" formatCode="0.000"/>
    <numFmt numFmtId="166" formatCode="0.0000"/>
  </numFmts>
  <fonts count="21">
    <font>
      <sz val="10"/>
      <name val="Arial"/>
    </font>
    <font>
      <b/>
      <sz val="10"/>
      <name val="Book Antiqua"/>
      <family val="1"/>
    </font>
    <font>
      <sz val="10"/>
      <name val="Book Antiqua"/>
      <family val="1"/>
    </font>
    <font>
      <b/>
      <sz val="11"/>
      <name val="Book Antiqua"/>
      <family val="1"/>
    </font>
    <font>
      <b/>
      <sz val="10"/>
      <name val="Arial"/>
      <family val="2"/>
    </font>
    <font>
      <sz val="10"/>
      <name val="Arial"/>
      <family val="2"/>
    </font>
    <font>
      <sz val="10"/>
      <name val="Arial"/>
      <family val="2"/>
    </font>
    <font>
      <sz val="12"/>
      <name val="Book Antiqua"/>
      <family val="1"/>
    </font>
    <font>
      <b/>
      <sz val="8"/>
      <color indexed="81"/>
      <name val="Tahoma"/>
      <family val="2"/>
    </font>
    <font>
      <sz val="8"/>
      <color indexed="81"/>
      <name val="Tahoma"/>
      <family val="2"/>
    </font>
    <font>
      <b/>
      <sz val="20"/>
      <name val="Arial"/>
      <family val="2"/>
    </font>
    <font>
      <sz val="20"/>
      <name val="Book Antiqua"/>
      <family val="1"/>
    </font>
    <font>
      <sz val="20"/>
      <name val="Arial"/>
      <family val="2"/>
    </font>
    <font>
      <b/>
      <sz val="20"/>
      <name val="Book Antiqua"/>
      <family val="1"/>
    </font>
    <font>
      <sz val="10"/>
      <color theme="1"/>
      <name val="Arial"/>
      <family val="2"/>
    </font>
    <font>
      <sz val="10"/>
      <color theme="0"/>
      <name val="Arial"/>
      <family val="2"/>
    </font>
    <font>
      <u/>
      <sz val="10"/>
      <color theme="10"/>
      <name val="Arial"/>
      <family val="2"/>
    </font>
    <font>
      <b/>
      <sz val="10"/>
      <color theme="1"/>
      <name val="Arial"/>
      <family val="2"/>
    </font>
    <font>
      <sz val="10"/>
      <name val="Calibri"/>
      <family val="2"/>
      <scheme val="minor"/>
    </font>
    <font>
      <b/>
      <sz val="20"/>
      <name val="Calibri"/>
      <family val="2"/>
      <scheme val="minor"/>
    </font>
    <font>
      <b/>
      <sz val="10"/>
      <name val="Calibri"/>
      <family val="2"/>
      <scheme val="minor"/>
    </font>
  </fonts>
  <fills count="11">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8" tint="0.399945066682943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0" fontId="14" fillId="4" borderId="0" applyNumberFormat="0" applyBorder="0" applyAlignment="0" applyProtection="0"/>
    <xf numFmtId="0" fontId="15" fillId="5" borderId="0" applyNumberFormat="0" applyBorder="0" applyAlignment="0" applyProtection="0"/>
    <xf numFmtId="0" fontId="16" fillId="0" borderId="0" applyNumberFormat="0" applyFill="0" applyBorder="0" applyAlignment="0" applyProtection="0">
      <alignment vertical="top"/>
      <protection locked="0"/>
    </xf>
    <xf numFmtId="9" fontId="6" fillId="0" borderId="0" applyFont="0" applyFill="0" applyBorder="0" applyAlignment="0" applyProtection="0"/>
  </cellStyleXfs>
  <cellXfs count="217">
    <xf numFmtId="0" fontId="0" fillId="0" borderId="0" xfId="0"/>
    <xf numFmtId="2" fontId="1" fillId="0" borderId="1" xfId="0" applyNumberFormat="1" applyFont="1" applyBorder="1"/>
    <xf numFmtId="2" fontId="2" fillId="0" borderId="1" xfId="0" applyNumberFormat="1" applyFont="1" applyBorder="1"/>
    <xf numFmtId="0" fontId="2" fillId="0" borderId="0" xfId="0" applyFont="1" applyBorder="1"/>
    <xf numFmtId="2" fontId="2" fillId="0" borderId="0" xfId="0" applyNumberFormat="1" applyFont="1"/>
    <xf numFmtId="2" fontId="1" fillId="0" borderId="0" xfId="0" applyNumberFormat="1" applyFont="1"/>
    <xf numFmtId="2" fontId="2" fillId="0" borderId="0" xfId="0" applyNumberFormat="1" applyFont="1" applyBorder="1"/>
    <xf numFmtId="0" fontId="1" fillId="0" borderId="1" xfId="0" applyFont="1" applyFill="1" applyBorder="1"/>
    <xf numFmtId="2" fontId="1" fillId="0" borderId="0" xfId="0" applyNumberFormat="1" applyFont="1" applyBorder="1"/>
    <xf numFmtId="0" fontId="2" fillId="0" borderId="1" xfId="0" applyFont="1" applyFill="1" applyBorder="1"/>
    <xf numFmtId="0" fontId="2" fillId="0" borderId="0" xfId="0" applyFont="1" applyFill="1"/>
    <xf numFmtId="2" fontId="2" fillId="0" borderId="1" xfId="0" applyNumberFormat="1" applyFont="1" applyFill="1" applyBorder="1"/>
    <xf numFmtId="2" fontId="3" fillId="0" borderId="1" xfId="0" applyNumberFormat="1" applyFont="1" applyBorder="1" applyAlignment="1">
      <alignment horizontal="right"/>
    </xf>
    <xf numFmtId="2" fontId="2" fillId="0" borderId="1" xfId="0" applyNumberFormat="1" applyFont="1" applyFill="1" applyBorder="1" applyAlignment="1">
      <alignment wrapText="1"/>
    </xf>
    <xf numFmtId="2" fontId="2" fillId="0" borderId="1" xfId="0" applyNumberFormat="1" applyFont="1" applyBorder="1" applyAlignment="1">
      <alignment horizontal="right"/>
    </xf>
    <xf numFmtId="2" fontId="2" fillId="0" borderId="0" xfId="0" applyNumberFormat="1" applyFont="1" applyFill="1" applyBorder="1"/>
    <xf numFmtId="2" fontId="2" fillId="0" borderId="2" xfId="0" applyNumberFormat="1" applyFont="1" applyBorder="1"/>
    <xf numFmtId="2" fontId="1" fillId="0" borderId="1" xfId="0" applyNumberFormat="1" applyFont="1" applyBorder="1" applyAlignment="1">
      <alignment wrapText="1"/>
    </xf>
    <xf numFmtId="1" fontId="2" fillId="0" borderId="1" xfId="0" applyNumberFormat="1" applyFont="1" applyBorder="1"/>
    <xf numFmtId="8" fontId="0" fillId="0" borderId="0" xfId="0" applyNumberFormat="1"/>
    <xf numFmtId="0" fontId="0" fillId="0" borderId="0" xfId="0" applyFill="1" applyBorder="1" applyAlignment="1">
      <alignment vertical="center"/>
    </xf>
    <xf numFmtId="2" fontId="1" fillId="0" borderId="1" xfId="0" applyNumberFormat="1" applyFont="1" applyBorder="1" applyAlignment="1">
      <alignment horizontal="right"/>
    </xf>
    <xf numFmtId="2" fontId="2" fillId="0" borderId="0" xfId="0" applyNumberFormat="1" applyFont="1" applyFill="1"/>
    <xf numFmtId="2" fontId="2" fillId="0" borderId="1" xfId="0" applyNumberFormat="1" applyFont="1" applyBorder="1" applyAlignment="1">
      <alignment wrapText="1"/>
    </xf>
    <xf numFmtId="4" fontId="7" fillId="0" borderId="0" xfId="0" applyNumberFormat="1" applyFont="1" applyBorder="1" applyAlignment="1"/>
    <xf numFmtId="4" fontId="2" fillId="0" borderId="0" xfId="0" applyNumberFormat="1" applyFont="1" applyBorder="1"/>
    <xf numFmtId="4" fontId="2" fillId="0" borderId="0" xfId="0" applyNumberFormat="1" applyFont="1" applyFill="1" applyBorder="1"/>
    <xf numFmtId="0" fontId="2" fillId="0" borderId="0" xfId="0" applyFont="1" applyFill="1" applyBorder="1"/>
    <xf numFmtId="10" fontId="2" fillId="0" borderId="0" xfId="0" applyNumberFormat="1" applyFont="1" applyFill="1" applyBorder="1"/>
    <xf numFmtId="1" fontId="2" fillId="0" borderId="0" xfId="0" applyNumberFormat="1" applyFont="1" applyFill="1" applyBorder="1"/>
    <xf numFmtId="4" fontId="2" fillId="0" borderId="0" xfId="0" applyNumberFormat="1" applyFont="1" applyFill="1" applyBorder="1" applyAlignment="1">
      <alignment horizontal="center" vertical="center"/>
    </xf>
    <xf numFmtId="0" fontId="2" fillId="0" borderId="1" xfId="0" applyFont="1" applyBorder="1"/>
    <xf numFmtId="4" fontId="2" fillId="0" borderId="1" xfId="0" applyNumberFormat="1" applyFont="1" applyBorder="1"/>
    <xf numFmtId="3" fontId="2" fillId="0" borderId="1" xfId="0" applyNumberFormat="1" applyFont="1" applyBorder="1"/>
    <xf numFmtId="9" fontId="2" fillId="0" borderId="1" xfId="4" applyFont="1" applyBorder="1"/>
    <xf numFmtId="4" fontId="2" fillId="0" borderId="1" xfId="0" applyNumberFormat="1" applyFont="1" applyFill="1" applyBorder="1"/>
    <xf numFmtId="164" fontId="2" fillId="0" borderId="1" xfId="0" applyNumberFormat="1" applyFont="1" applyBorder="1"/>
    <xf numFmtId="10" fontId="2" fillId="2" borderId="0" xfId="0" applyNumberFormat="1" applyFont="1" applyFill="1" applyBorder="1"/>
    <xf numFmtId="0" fontId="0" fillId="0" borderId="1" xfId="0" quotePrefix="1" applyBorder="1" applyAlignment="1">
      <alignment horizontal="center" vertical="center"/>
    </xf>
    <xf numFmtId="9" fontId="0" fillId="0" borderId="1" xfId="0" applyNumberFormat="1" applyBorder="1" applyAlignment="1">
      <alignment horizontal="center" vertical="center"/>
    </xf>
    <xf numFmtId="0" fontId="0" fillId="0" borderId="0" xfId="0" applyFill="1"/>
    <xf numFmtId="0" fontId="0" fillId="0" borderId="1" xfId="0" applyBorder="1" applyAlignment="1">
      <alignment horizontal="center" vertical="center"/>
    </xf>
    <xf numFmtId="10" fontId="0" fillId="0" borderId="1" xfId="4" applyNumberFormat="1"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xf>
    <xf numFmtId="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10" fontId="0" fillId="0" borderId="1" xfId="0" applyNumberFormat="1" applyFill="1" applyBorder="1" applyAlignment="1">
      <alignment horizontal="center" vertical="center" wrapText="1"/>
    </xf>
    <xf numFmtId="0" fontId="1" fillId="0" borderId="0" xfId="0" applyFont="1" applyFill="1" applyBorder="1"/>
    <xf numFmtId="4" fontId="2" fillId="0" borderId="1" xfId="0" applyNumberFormat="1" applyFont="1" applyBorder="1" applyAlignment="1">
      <alignment horizontal="right"/>
    </xf>
    <xf numFmtId="4" fontId="2" fillId="0" borderId="0" xfId="0" applyNumberFormat="1" applyFont="1" applyFill="1" applyBorder="1" applyAlignment="1"/>
    <xf numFmtId="4" fontId="7" fillId="0" borderId="0" xfId="0" applyNumberFormat="1" applyFont="1" applyFill="1" applyBorder="1" applyAlignment="1"/>
    <xf numFmtId="0" fontId="2" fillId="0" borderId="0" xfId="0" applyFont="1" applyFill="1" applyBorder="1" applyAlignment="1">
      <alignment wrapText="1"/>
    </xf>
    <xf numFmtId="10" fontId="2" fillId="0" borderId="0" xfId="4" applyNumberFormat="1" applyFont="1" applyFill="1" applyBorder="1"/>
    <xf numFmtId="0" fontId="2" fillId="6" borderId="0" xfId="0" applyFont="1" applyFill="1" applyBorder="1"/>
    <xf numFmtId="2" fontId="2" fillId="6" borderId="0" xfId="0" applyNumberFormat="1" applyFont="1" applyFill="1" applyBorder="1"/>
    <xf numFmtId="1" fontId="2" fillId="6" borderId="0" xfId="0" applyNumberFormat="1" applyFont="1" applyFill="1" applyBorder="1"/>
    <xf numFmtId="2" fontId="2" fillId="6" borderId="0" xfId="0" applyNumberFormat="1" applyFont="1" applyFill="1" applyBorder="1" applyAlignment="1">
      <alignment wrapText="1"/>
    </xf>
    <xf numFmtId="0" fontId="2" fillId="6" borderId="0" xfId="0" applyFont="1" applyFill="1" applyBorder="1" applyAlignment="1">
      <alignment wrapText="1"/>
    </xf>
    <xf numFmtId="4" fontId="2" fillId="0" borderId="1" xfId="0" applyNumberFormat="1" applyFont="1" applyFill="1" applyBorder="1" applyAlignment="1">
      <alignment horizontal="right"/>
    </xf>
    <xf numFmtId="165" fontId="2" fillId="6" borderId="0" xfId="0" applyNumberFormat="1" applyFont="1" applyFill="1" applyBorder="1" applyAlignment="1">
      <alignment wrapText="1"/>
    </xf>
    <xf numFmtId="0" fontId="5" fillId="0" borderId="0" xfId="0" applyFont="1" applyFill="1" applyBorder="1" applyAlignment="1">
      <alignment vertical="center" wrapText="1"/>
    </xf>
    <xf numFmtId="2" fontId="2" fillId="0" borderId="3" xfId="0" applyNumberFormat="1" applyFont="1" applyFill="1" applyBorder="1"/>
    <xf numFmtId="2" fontId="2" fillId="0" borderId="1" xfId="0" applyNumberFormat="1" applyFont="1" applyFill="1" applyBorder="1" applyAlignment="1">
      <alignment horizontal="right"/>
    </xf>
    <xf numFmtId="9" fontId="2" fillId="0" borderId="1" xfId="0" applyNumberFormat="1" applyFont="1" applyFill="1" applyBorder="1"/>
    <xf numFmtId="0" fontId="18" fillId="0" borderId="0" xfId="0" applyFont="1" applyFill="1" applyBorder="1"/>
    <xf numFmtId="0" fontId="18" fillId="0" borderId="0" xfId="0" applyFont="1" applyBorder="1"/>
    <xf numFmtId="0" fontId="18" fillId="0" borderId="0" xfId="0" applyFont="1" applyFill="1" applyBorder="1" applyAlignment="1">
      <alignment vertical="center" wrapText="1"/>
    </xf>
    <xf numFmtId="0" fontId="18" fillId="0" borderId="0" xfId="0" applyFont="1" applyFill="1" applyBorder="1" applyAlignment="1">
      <alignment vertical="center"/>
    </xf>
    <xf numFmtId="166" fontId="2" fillId="6" borderId="0" xfId="0" applyNumberFormat="1" applyFont="1" applyFill="1" applyBorder="1"/>
    <xf numFmtId="0" fontId="2" fillId="0" borderId="1" xfId="0" applyFont="1" applyFill="1" applyBorder="1" applyAlignment="1">
      <alignment horizontal="right"/>
    </xf>
    <xf numFmtId="9" fontId="2" fillId="0" borderId="3" xfId="0" applyNumberFormat="1" applyFont="1" applyFill="1" applyBorder="1"/>
    <xf numFmtId="2" fontId="2" fillId="0" borderId="4" xfId="0" applyNumberFormat="1" applyFont="1" applyFill="1" applyBorder="1"/>
    <xf numFmtId="0" fontId="2" fillId="0" borderId="3" xfId="0" applyFont="1" applyFill="1" applyBorder="1"/>
    <xf numFmtId="0" fontId="2" fillId="0" borderId="4" xfId="0" applyFont="1" applyFill="1" applyBorder="1"/>
    <xf numFmtId="0" fontId="1" fillId="0" borderId="3" xfId="0" applyFont="1" applyFill="1" applyBorder="1"/>
    <xf numFmtId="10" fontId="2" fillId="0" borderId="1" xfId="0" applyNumberFormat="1" applyFont="1" applyFill="1" applyBorder="1"/>
    <xf numFmtId="2" fontId="1" fillId="6" borderId="1" xfId="0" applyNumberFormat="1" applyFont="1" applyFill="1" applyBorder="1"/>
    <xf numFmtId="2" fontId="2" fillId="7" borderId="1" xfId="0" applyNumberFormat="1" applyFont="1" applyFill="1" applyBorder="1"/>
    <xf numFmtId="2" fontId="2" fillId="7" borderId="0" xfId="0" applyNumberFormat="1" applyFont="1" applyFill="1" applyBorder="1"/>
    <xf numFmtId="4" fontId="2" fillId="0" borderId="1" xfId="0" applyNumberFormat="1" applyFont="1" applyFill="1" applyBorder="1" applyAlignment="1">
      <alignment horizontal="center" vertical="center"/>
    </xf>
    <xf numFmtId="0" fontId="2" fillId="8" borderId="1" xfId="0" applyFont="1" applyFill="1" applyBorder="1" applyAlignment="1">
      <alignment horizontal="right"/>
    </xf>
    <xf numFmtId="0" fontId="2" fillId="0" borderId="1" xfId="0" applyFont="1" applyBorder="1" applyAlignment="1">
      <alignment horizontal="right"/>
    </xf>
    <xf numFmtId="4" fontId="2" fillId="0" borderId="1" xfId="0" applyNumberFormat="1" applyFont="1" applyFill="1" applyBorder="1" applyAlignment="1">
      <alignment wrapText="1"/>
    </xf>
    <xf numFmtId="0" fontId="2" fillId="0" borderId="1" xfId="0" applyFont="1" applyBorder="1" applyAlignment="1">
      <alignment wrapText="1"/>
    </xf>
    <xf numFmtId="0" fontId="2" fillId="3" borderId="1" xfId="0" applyFont="1" applyFill="1" applyBorder="1" applyAlignment="1">
      <alignment wrapText="1"/>
    </xf>
    <xf numFmtId="4" fontId="2" fillId="2" borderId="1" xfId="0" applyNumberFormat="1" applyFont="1" applyFill="1" applyBorder="1"/>
    <xf numFmtId="2" fontId="2" fillId="8" borderId="0" xfId="0" applyNumberFormat="1" applyFont="1" applyFill="1"/>
    <xf numFmtId="0" fontId="1" fillId="8" borderId="0" xfId="0" applyFont="1" applyFill="1" applyBorder="1"/>
    <xf numFmtId="4" fontId="2" fillId="8" borderId="0" xfId="0" applyNumberFormat="1" applyFont="1" applyFill="1" applyBorder="1"/>
    <xf numFmtId="10" fontId="2" fillId="8" borderId="0" xfId="0" applyNumberFormat="1" applyFont="1" applyFill="1" applyBorder="1"/>
    <xf numFmtId="0" fontId="1" fillId="0" borderId="0" xfId="0" applyFont="1" applyBorder="1" applyAlignment="1">
      <alignment horizontal="center" vertical="center" wrapText="1"/>
    </xf>
    <xf numFmtId="8" fontId="2" fillId="0" borderId="0" xfId="0" applyNumberFormat="1" applyFont="1" applyFill="1" applyBorder="1"/>
    <xf numFmtId="8" fontId="2" fillId="0" borderId="0" xfId="0" applyNumberFormat="1" applyFont="1" applyBorder="1"/>
    <xf numFmtId="0" fontId="2" fillId="0" borderId="0" xfId="0" applyFont="1" applyBorder="1" applyAlignment="1">
      <alignment horizontal="center" vertical="center" wrapText="1"/>
    </xf>
    <xf numFmtId="0" fontId="2" fillId="0" borderId="0" xfId="0" applyFont="1" applyBorder="1" applyAlignment="1">
      <alignment vertical="center" wrapText="1"/>
    </xf>
    <xf numFmtId="2" fontId="2" fillId="0" borderId="1" xfId="0" applyNumberFormat="1" applyFont="1" applyBorder="1" applyAlignment="1">
      <alignment vertical="center" wrapText="1"/>
    </xf>
    <xf numFmtId="2" fontId="2" fillId="0" borderId="0" xfId="0" applyNumberFormat="1" applyFont="1" applyBorder="1" applyAlignment="1">
      <alignment vertical="center" wrapText="1"/>
    </xf>
    <xf numFmtId="0" fontId="0" fillId="0" borderId="0" xfId="0" applyAlignment="1">
      <alignment horizontal="center"/>
    </xf>
    <xf numFmtId="9" fontId="0" fillId="0" borderId="0" xfId="0" applyNumberFormat="1" applyFill="1"/>
    <xf numFmtId="0" fontId="0" fillId="0" borderId="1" xfId="0" applyFill="1" applyBorder="1"/>
    <xf numFmtId="0" fontId="0" fillId="0" borderId="1" xfId="0" applyBorder="1"/>
    <xf numFmtId="0" fontId="0" fillId="0" borderId="1" xfId="0" applyBorder="1" applyAlignment="1">
      <alignment wrapText="1"/>
    </xf>
    <xf numFmtId="10" fontId="6" fillId="2" borderId="1" xfId="4" applyNumberFormat="1" applyFont="1" applyFill="1" applyBorder="1"/>
    <xf numFmtId="0" fontId="0" fillId="0" borderId="1" xfId="0" applyFill="1" applyBorder="1" applyAlignment="1">
      <alignment wrapText="1"/>
    </xf>
    <xf numFmtId="0" fontId="5" fillId="0" borderId="1" xfId="0" applyFont="1" applyFill="1" applyBorder="1" applyAlignment="1">
      <alignment wrapText="1"/>
    </xf>
    <xf numFmtId="10" fontId="4" fillId="9" borderId="1" xfId="4" applyNumberFormat="1" applyFont="1" applyFill="1" applyBorder="1" applyAlignment="1">
      <alignment horizontal="center" vertical="center"/>
    </xf>
    <xf numFmtId="10" fontId="0" fillId="0" borderId="1" xfId="0" applyNumberFormat="1" applyFill="1" applyBorder="1" applyAlignment="1">
      <alignment horizontal="center"/>
    </xf>
    <xf numFmtId="0" fontId="10" fillId="0" borderId="0" xfId="0" applyFont="1"/>
    <xf numFmtId="0" fontId="4" fillId="9" borderId="1" xfId="0" applyFont="1" applyFill="1" applyBorder="1"/>
    <xf numFmtId="4" fontId="4" fillId="9" borderId="1" xfId="0" applyNumberFormat="1" applyFont="1" applyFill="1" applyBorder="1"/>
    <xf numFmtId="0" fontId="4" fillId="10" borderId="1" xfId="0" applyFont="1" applyFill="1" applyBorder="1"/>
    <xf numFmtId="0" fontId="15" fillId="5" borderId="1" xfId="2" applyBorder="1" applyAlignment="1">
      <alignment horizontal="center" vertical="center"/>
    </xf>
    <xf numFmtId="0" fontId="17" fillId="5" borderId="1" xfId="2" applyFont="1" applyBorder="1" applyAlignment="1">
      <alignment horizontal="center" vertical="center" wrapText="1"/>
    </xf>
    <xf numFmtId="0" fontId="12" fillId="0" borderId="0" xfId="0" applyFont="1" applyBorder="1" applyAlignment="1">
      <alignment vertical="center" wrapText="1"/>
    </xf>
    <xf numFmtId="0" fontId="1" fillId="0" borderId="1" xfId="0" applyFont="1" applyBorder="1" applyAlignment="1">
      <alignment horizontal="center" vertical="center" wrapText="1"/>
    </xf>
    <xf numFmtId="2" fontId="1" fillId="0" borderId="1" xfId="0" applyNumberFormat="1" applyFont="1" applyBorder="1" applyAlignment="1">
      <alignment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left" vertical="center" wrapText="1"/>
    </xf>
    <xf numFmtId="2" fontId="2" fillId="0" borderId="1" xfId="0" applyNumberFormat="1" applyFont="1" applyBorder="1" applyAlignment="1">
      <alignment horizontal="left" vertical="center" wrapText="1"/>
    </xf>
    <xf numFmtId="2" fontId="5" fillId="0" borderId="1" xfId="0" applyNumberFormat="1" applyFont="1" applyFill="1" applyBorder="1" applyAlignment="1">
      <alignment horizontal="right" vertical="center" wrapText="1"/>
    </xf>
    <xf numFmtId="2" fontId="11" fillId="0" borderId="0" xfId="0" applyNumberFormat="1" applyFont="1"/>
    <xf numFmtId="2" fontId="1" fillId="0" borderId="5" xfId="0" applyNumberFormat="1" applyFont="1" applyBorder="1"/>
    <xf numFmtId="2" fontId="3" fillId="0" borderId="5" xfId="0" applyNumberFormat="1" applyFont="1" applyBorder="1" applyAlignment="1">
      <alignment horizontal="right"/>
    </xf>
    <xf numFmtId="0" fontId="11" fillId="0" borderId="0" xfId="0" applyFont="1" applyFill="1"/>
    <xf numFmtId="9" fontId="2" fillId="0" borderId="1" xfId="4" applyFont="1" applyFill="1" applyBorder="1"/>
    <xf numFmtId="4" fontId="2" fillId="0" borderId="1" xfId="0" applyNumberFormat="1" applyFont="1" applyFill="1" applyBorder="1" applyAlignment="1"/>
    <xf numFmtId="0" fontId="2" fillId="0" borderId="2" xfId="0" applyFont="1" applyFill="1" applyBorder="1"/>
    <xf numFmtId="4" fontId="2" fillId="0" borderId="1" xfId="0" applyNumberFormat="1" applyFont="1" applyFill="1" applyBorder="1" applyAlignment="1">
      <alignment horizontal="left" vertical="center"/>
    </xf>
    <xf numFmtId="3" fontId="2" fillId="0" borderId="1" xfId="0" applyNumberFormat="1" applyFont="1" applyFill="1" applyBorder="1"/>
    <xf numFmtId="4"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11" fillId="0" borderId="0" xfId="0" applyFont="1" applyFill="1" applyBorder="1"/>
    <xf numFmtId="0" fontId="10" fillId="0" borderId="0" xfId="0" applyFont="1" applyFill="1" applyBorder="1" applyAlignment="1">
      <alignment vertical="center"/>
    </xf>
    <xf numFmtId="0" fontId="5" fillId="0" borderId="1" xfId="0" applyFont="1" applyFill="1" applyBorder="1" applyAlignment="1">
      <alignment vertical="center"/>
    </xf>
    <xf numFmtId="0" fontId="4" fillId="0" borderId="1" xfId="0" applyFont="1" applyFill="1" applyBorder="1" applyAlignment="1">
      <alignment vertical="center"/>
    </xf>
    <xf numFmtId="0" fontId="5" fillId="0" borderId="1" xfId="0" applyFont="1" applyFill="1" applyBorder="1" applyAlignment="1">
      <alignment vertical="center" wrapText="1"/>
    </xf>
    <xf numFmtId="0" fontId="0" fillId="0" borderId="1" xfId="0" applyFill="1" applyBorder="1" applyAlignment="1">
      <alignment vertical="center"/>
    </xf>
    <xf numFmtId="0" fontId="5" fillId="0" borderId="1" xfId="0" applyFont="1" applyFill="1" applyBorder="1" applyAlignment="1">
      <alignment horizontal="right" vertical="center"/>
    </xf>
    <xf numFmtId="2" fontId="0" fillId="0" borderId="1" xfId="0" applyNumberFormat="1" applyFill="1" applyBorder="1" applyAlignment="1">
      <alignment horizontal="center" vertical="center"/>
    </xf>
    <xf numFmtId="0" fontId="0" fillId="0" borderId="1" xfId="0" applyFill="1" applyBorder="1" applyAlignment="1">
      <alignment horizontal="left" vertical="center"/>
    </xf>
    <xf numFmtId="9" fontId="5"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right" vertical="center"/>
    </xf>
    <xf numFmtId="2" fontId="0" fillId="0" borderId="1" xfId="0" applyNumberFormat="1" applyFill="1" applyBorder="1" applyAlignment="1">
      <alignment horizontal="center" vertical="center" wrapText="1"/>
    </xf>
    <xf numFmtId="9" fontId="0" fillId="0" borderId="1" xfId="0" applyNumberFormat="1" applyFill="1" applyBorder="1" applyAlignment="1">
      <alignment horizontal="center" vertical="center" wrapText="1"/>
    </xf>
    <xf numFmtId="2"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0" fillId="0"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4" fillId="8" borderId="1" xfId="0" applyFont="1" applyFill="1" applyBorder="1" applyAlignment="1">
      <alignment vertical="center"/>
    </xf>
    <xf numFmtId="0" fontId="0" fillId="0" borderId="1" xfId="0" applyNumberForma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6" fillId="0" borderId="1" xfId="3" applyFill="1" applyBorder="1" applyAlignment="1" applyProtection="1">
      <alignment vertical="center" wrapText="1"/>
    </xf>
    <xf numFmtId="10" fontId="5" fillId="0" borderId="1" xfId="0" applyNumberFormat="1" applyFont="1" applyFill="1" applyBorder="1" applyAlignment="1">
      <alignment horizontal="center" vertical="center"/>
    </xf>
    <xf numFmtId="0" fontId="16" fillId="0" borderId="1" xfId="3" applyFont="1" applyFill="1" applyBorder="1" applyAlignment="1" applyProtection="1">
      <alignment vertical="center" wrapText="1"/>
    </xf>
    <xf numFmtId="0" fontId="16" fillId="0" borderId="1" xfId="3" applyFill="1" applyBorder="1" applyAlignment="1" applyProtection="1">
      <alignment vertical="center"/>
    </xf>
    <xf numFmtId="0" fontId="5" fillId="7" borderId="1" xfId="0" applyFont="1" applyFill="1" applyBorder="1" applyAlignment="1">
      <alignment vertical="center" wrapText="1"/>
    </xf>
    <xf numFmtId="0" fontId="5" fillId="8" borderId="1" xfId="0" applyFont="1" applyFill="1" applyBorder="1" applyAlignment="1">
      <alignment horizontal="center" vertical="center"/>
    </xf>
    <xf numFmtId="9" fontId="0" fillId="7" borderId="1" xfId="0" applyNumberFormat="1" applyFill="1" applyBorder="1" applyAlignment="1">
      <alignment horizontal="center" vertical="center"/>
    </xf>
    <xf numFmtId="0" fontId="0" fillId="7" borderId="1" xfId="0" applyFill="1" applyBorder="1" applyAlignment="1">
      <alignment horizontal="center" vertical="center"/>
    </xf>
    <xf numFmtId="0" fontId="2" fillId="0" borderId="2" xfId="0" applyNumberFormat="1" applyFont="1" applyFill="1" applyBorder="1"/>
    <xf numFmtId="164" fontId="2" fillId="0" borderId="1" xfId="0" applyNumberFormat="1" applyFont="1" applyFill="1" applyBorder="1"/>
    <xf numFmtId="0" fontId="19" fillId="0" borderId="0" xfId="0" applyFont="1" applyFill="1" applyBorder="1" applyAlignment="1">
      <alignment vertical="center"/>
    </xf>
    <xf numFmtId="0" fontId="20" fillId="0" borderId="1" xfId="0" applyFont="1" applyFill="1" applyBorder="1" applyAlignment="1">
      <alignment vertical="center"/>
    </xf>
    <xf numFmtId="0" fontId="18" fillId="0" borderId="1" xfId="0" applyFont="1" applyFill="1" applyBorder="1" applyAlignment="1">
      <alignment vertical="center" wrapText="1"/>
    </xf>
    <xf numFmtId="0" fontId="18" fillId="0" borderId="1" xfId="0" applyFont="1" applyFill="1" applyBorder="1" applyAlignment="1">
      <alignment horizontal="right" vertical="center"/>
    </xf>
    <xf numFmtId="9" fontId="18" fillId="0" borderId="1" xfId="0" applyNumberFormat="1" applyFont="1" applyFill="1" applyBorder="1" applyAlignment="1">
      <alignment horizontal="center" vertical="center" wrapText="1"/>
    </xf>
    <xf numFmtId="10" fontId="18"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18" fillId="0" borderId="1" xfId="0" quotePrefix="1" applyFont="1" applyFill="1" applyBorder="1" applyAlignment="1">
      <alignment horizontal="left" vertical="center" wrapText="1"/>
    </xf>
    <xf numFmtId="0" fontId="18" fillId="0" borderId="1" xfId="0" applyFont="1" applyFill="1" applyBorder="1" applyAlignment="1">
      <alignment vertical="center"/>
    </xf>
    <xf numFmtId="10" fontId="18" fillId="0" borderId="1" xfId="0" applyNumberFormat="1" applyFont="1" applyFill="1" applyBorder="1" applyAlignment="1">
      <alignment horizontal="center" vertical="center"/>
    </xf>
    <xf numFmtId="0" fontId="18" fillId="0" borderId="1" xfId="0" applyFont="1" applyBorder="1" applyAlignment="1">
      <alignment vertical="center"/>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9"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1" fontId="18" fillId="0" borderId="1" xfId="0" applyNumberFormat="1" applyFont="1" applyFill="1" applyBorder="1" applyAlignment="1">
      <alignment horizontal="center" vertical="center"/>
    </xf>
    <xf numFmtId="2" fontId="18" fillId="0" borderId="1" xfId="0" applyNumberFormat="1" applyFont="1" applyFill="1" applyBorder="1" applyAlignment="1">
      <alignment horizontal="center" vertical="center"/>
    </xf>
    <xf numFmtId="2" fontId="18" fillId="0" borderId="1" xfId="0" quotePrefix="1" applyNumberFormat="1" applyFont="1" applyBorder="1" applyAlignment="1">
      <alignment horizontal="center" vertical="center"/>
    </xf>
    <xf numFmtId="0" fontId="1" fillId="0" borderId="1" xfId="0" applyFont="1" applyBorder="1" applyAlignment="1">
      <alignment horizontal="center"/>
    </xf>
    <xf numFmtId="2" fontId="2" fillId="0" borderId="1" xfId="0" applyNumberFormat="1" applyFont="1" applyBorder="1" applyAlignment="1">
      <alignment horizontal="left" wrapText="1"/>
    </xf>
    <xf numFmtId="2" fontId="2" fillId="0" borderId="5" xfId="0" applyNumberFormat="1" applyFont="1" applyBorder="1"/>
    <xf numFmtId="0" fontId="17" fillId="5" borderId="1" xfId="2" applyFont="1" applyBorder="1" applyAlignment="1">
      <alignment vertical="center"/>
    </xf>
    <xf numFmtId="10" fontId="0" fillId="0" borderId="0" xfId="0" applyNumberFormat="1"/>
    <xf numFmtId="0" fontId="5" fillId="0" borderId="0" xfId="0" applyFont="1" applyFill="1" applyBorder="1" applyAlignment="1">
      <alignment horizontal="left" vertical="center" wrapText="1"/>
    </xf>
    <xf numFmtId="0" fontId="0" fillId="0" borderId="2" xfId="0" applyBorder="1" applyAlignment="1">
      <alignment horizontal="center" vertical="center"/>
    </xf>
    <xf numFmtId="0" fontId="0" fillId="0" borderId="5" xfId="0" applyBorder="1" applyAlignment="1">
      <alignment horizontal="center" vertical="center"/>
    </xf>
    <xf numFmtId="1" fontId="2" fillId="7" borderId="1" xfId="0" applyNumberFormat="1" applyFont="1" applyFill="1" applyBorder="1"/>
    <xf numFmtId="2" fontId="2" fillId="7" borderId="0" xfId="0" applyNumberFormat="1" applyFont="1" applyFill="1"/>
    <xf numFmtId="2" fontId="2" fillId="7" borderId="1" xfId="0" applyNumberFormat="1" applyFont="1" applyFill="1" applyBorder="1" applyAlignment="1">
      <alignment horizontal="right"/>
    </xf>
    <xf numFmtId="0" fontId="4" fillId="0" borderId="1" xfId="0" applyFont="1" applyFill="1" applyBorder="1" applyAlignment="1">
      <alignment horizontal="left" vertical="center"/>
    </xf>
    <xf numFmtId="2" fontId="1" fillId="0" borderId="0" xfId="0" applyNumberFormat="1" applyFont="1" applyFill="1" applyBorder="1" applyAlignment="1">
      <alignment horizontal="center"/>
    </xf>
    <xf numFmtId="2" fontId="13" fillId="0" borderId="3" xfId="0" applyNumberFormat="1" applyFont="1" applyBorder="1" applyAlignment="1">
      <alignment horizontal="center"/>
    </xf>
    <xf numFmtId="2" fontId="13" fillId="0" borderId="6" xfId="0" applyNumberFormat="1" applyFont="1" applyBorder="1" applyAlignment="1">
      <alignment horizontal="center"/>
    </xf>
    <xf numFmtId="2" fontId="13" fillId="0" borderId="4" xfId="0" applyNumberFormat="1" applyFont="1" applyBorder="1" applyAlignment="1">
      <alignment horizontal="center"/>
    </xf>
    <xf numFmtId="0" fontId="2" fillId="6" borderId="0" xfId="0" applyFont="1" applyFill="1" applyBorder="1" applyAlignment="1">
      <alignment horizontal="center"/>
    </xf>
    <xf numFmtId="0" fontId="2" fillId="6" borderId="0" xfId="0" applyFont="1" applyFill="1" applyBorder="1" applyAlignment="1">
      <alignment horizontal="left" wrapText="1"/>
    </xf>
    <xf numFmtId="1" fontId="2" fillId="6" borderId="0" xfId="0" applyNumberFormat="1" applyFont="1" applyFill="1" applyBorder="1" applyAlignment="1">
      <alignment horizontal="center"/>
    </xf>
    <xf numFmtId="0" fontId="0" fillId="0" borderId="1" xfId="0" applyBorder="1" applyAlignment="1">
      <alignment horizontal="center" vertical="center"/>
    </xf>
    <xf numFmtId="0" fontId="4" fillId="2" borderId="0" xfId="0" applyFont="1" applyFill="1" applyAlignment="1">
      <alignment horizontal="center" wrapText="1"/>
    </xf>
    <xf numFmtId="0" fontId="4" fillId="10" borderId="3" xfId="0" applyFont="1" applyFill="1" applyBorder="1" applyAlignment="1">
      <alignment horizontal="left"/>
    </xf>
    <xf numFmtId="0" fontId="4" fillId="10" borderId="4" xfId="0" applyFont="1" applyFill="1" applyBorder="1" applyAlignment="1">
      <alignment horizontal="left"/>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17" fillId="4" borderId="3" xfId="1" applyFont="1" applyBorder="1" applyAlignment="1">
      <alignment horizontal="center"/>
    </xf>
    <xf numFmtId="0" fontId="17" fillId="4" borderId="4" xfId="1" applyFont="1" applyBorder="1" applyAlignment="1">
      <alignment horizontal="center"/>
    </xf>
    <xf numFmtId="0" fontId="0" fillId="0" borderId="1" xfId="0" applyFill="1" applyBorder="1" applyAlignment="1">
      <alignment horizontal="center"/>
    </xf>
    <xf numFmtId="0" fontId="0" fillId="0" borderId="2" xfId="0" applyFill="1" applyBorder="1" applyAlignment="1">
      <alignment horizontal="center"/>
    </xf>
    <xf numFmtId="0" fontId="0" fillId="0" borderId="5" xfId="0" applyFill="1" applyBorder="1" applyAlignment="1">
      <alignment horizontal="center"/>
    </xf>
    <xf numFmtId="0" fontId="20" fillId="0" borderId="1" xfId="0" applyFont="1" applyFill="1" applyBorder="1" applyAlignment="1">
      <alignment horizontal="left" vertical="center"/>
    </xf>
    <xf numFmtId="0" fontId="1" fillId="0" borderId="0" xfId="0" applyFont="1" applyBorder="1" applyAlignment="1">
      <alignment horizontal="center"/>
    </xf>
    <xf numFmtId="2" fontId="1" fillId="0" borderId="1" xfId="0" applyNumberFormat="1" applyFont="1" applyBorder="1" applyAlignment="1">
      <alignment horizontal="center"/>
    </xf>
    <xf numFmtId="2" fontId="1" fillId="0" borderId="5" xfId="0" applyNumberFormat="1" applyFont="1" applyBorder="1" applyAlignment="1">
      <alignment horizontal="center"/>
    </xf>
    <xf numFmtId="2" fontId="2" fillId="0" borderId="1" xfId="0" applyNumberFormat="1" applyFont="1" applyBorder="1" applyAlignment="1">
      <alignment horizontal="center"/>
    </xf>
  </cellXfs>
  <cellStyles count="5">
    <cellStyle name="40% - Accent1" xfId="1" builtinId="31"/>
    <cellStyle name="60% - Accent1" xfId="2" builtinId="32"/>
    <cellStyle name="Hyperlink" xfId="3" builtinId="8"/>
    <cellStyle name="Normal" xfId="0" builtinId="0"/>
    <cellStyle name="Percent" xfId="4"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www.eex.com/en/document/32370/presentation_cer_futures%20%27english%28.pdf" TargetMode="External"/><Relationship Id="rId7" Type="http://schemas.openxmlformats.org/officeDocument/2006/relationships/vmlDrawing" Target="../drawings/vmlDrawing1.vml"/><Relationship Id="rId2" Type="http://schemas.openxmlformats.org/officeDocument/2006/relationships/hyperlink" Target="https://www.apcommercialtaxes.gov.in/allacts/vat/whitepaper_VAT.doc" TargetMode="External"/><Relationship Id="rId1" Type="http://schemas.openxmlformats.org/officeDocument/2006/relationships/hyperlink" Target="http://www.rbi.org.in/scripts/ReferenceRateArchive.aspx" TargetMode="External"/><Relationship Id="rId6" Type="http://schemas.openxmlformats.org/officeDocument/2006/relationships/printerSettings" Target="../printerSettings/printerSettings1.bin"/><Relationship Id="rId5" Type="http://schemas.openxmlformats.org/officeDocument/2006/relationships/hyperlink" Target="http://indiabudget.nic.in/ub2007-08/frbm/frbm3.pdf" TargetMode="External"/><Relationship Id="rId4" Type="http://schemas.openxmlformats.org/officeDocument/2006/relationships/hyperlink" Target="http://www.incometaxindia.gov.in/Archive/Filing_Your_Tax_Return.pdf"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incometaxindia.gov.in/Archive/Filing_Your_Tax_Return.pdf" TargetMode="External"/><Relationship Id="rId2" Type="http://schemas.openxmlformats.org/officeDocument/2006/relationships/hyperlink" Target="https://www.apcommercialtaxes.gov.in/allacts/vat/whitepaper_VAT.doc" TargetMode="External"/><Relationship Id="rId1" Type="http://schemas.openxmlformats.org/officeDocument/2006/relationships/hyperlink" Target="http://www.bee-india.nic.in/miscellaneous/documents/useful_downloads/BLYconceptnoteandStatus_15Jan2009.doc" TargetMode="External"/><Relationship Id="rId5" Type="http://schemas.openxmlformats.org/officeDocument/2006/relationships/printerSettings" Target="../printerSettings/printerSettings8.bin"/><Relationship Id="rId4" Type="http://schemas.openxmlformats.org/officeDocument/2006/relationships/hyperlink" Target="http://indiabudget.nic.in/ub2007-08/frbm/frbm3.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92D050"/>
  </sheetPr>
  <dimension ref="B1:D73"/>
  <sheetViews>
    <sheetView showGridLines="0" tabSelected="1" zoomScale="90" zoomScaleNormal="90" workbookViewId="0">
      <selection activeCell="B1" sqref="B1"/>
    </sheetView>
  </sheetViews>
  <sheetFormatPr defaultRowHeight="12.75"/>
  <cols>
    <col min="1" max="1" width="9.140625" style="20"/>
    <col min="2" max="2" width="58.28515625" style="20" customWidth="1"/>
    <col min="3" max="3" width="24.5703125" style="20" customWidth="1"/>
    <col min="4" max="4" width="107" style="61" bestFit="1" customWidth="1"/>
    <col min="5" max="16384" width="9.140625" style="20"/>
  </cols>
  <sheetData>
    <row r="1" spans="2:4" ht="26.25">
      <c r="B1" s="133" t="s">
        <v>108</v>
      </c>
      <c r="D1" s="61" t="s">
        <v>283</v>
      </c>
    </row>
    <row r="2" spans="2:4">
      <c r="B2" s="193" t="s">
        <v>96</v>
      </c>
      <c r="C2" s="193"/>
      <c r="D2" s="118"/>
    </row>
    <row r="3" spans="2:4">
      <c r="B3" s="134" t="s">
        <v>22</v>
      </c>
      <c r="C3" s="135" t="s">
        <v>294</v>
      </c>
      <c r="D3" s="136" t="s">
        <v>189</v>
      </c>
    </row>
    <row r="4" spans="2:4">
      <c r="B4" s="137" t="s">
        <v>38</v>
      </c>
      <c r="C4" s="139">
        <f>'Prj Cost-CFL'!C7+'Prj Cost-CFL'!E7</f>
        <v>200</v>
      </c>
      <c r="D4" s="118" t="str">
        <f>'Prj Cost-CFL'!D7</f>
        <v>Chapter 12, Page 22 of TEVR; Quotation received for Line 1 by Precesion Engineering Works dated 21 November 2007</v>
      </c>
    </row>
    <row r="5" spans="2:4">
      <c r="B5" s="137" t="s">
        <v>71</v>
      </c>
      <c r="C5" s="139">
        <f>'Prj Cost-CFL'!C8+'Prj Cost-CFL'!E8</f>
        <v>339.4</v>
      </c>
      <c r="D5" s="118" t="str">
        <f>'Prj Cost-CFL'!D8</f>
        <v>Chapter 12, Page 22 of TEVR; Quotation received for Line 1 by Precesion Engineering Works dated 21 November 2007</v>
      </c>
    </row>
    <row r="6" spans="2:4">
      <c r="B6" s="137" t="s">
        <v>66</v>
      </c>
      <c r="C6" s="139">
        <f>'Prj Cost-CFL'!C9+'Prj Cost-CFL'!E9</f>
        <v>1496.4287999999999</v>
      </c>
      <c r="D6" s="118" t="str">
        <f>'Prj Cost-CFL'!D9</f>
        <v>Chapter 12, Page 22 of TEVR; Quotation received for Line 1 by Precesion Engineering Works dated 21 November 2007</v>
      </c>
    </row>
    <row r="7" spans="2:4">
      <c r="B7" s="137" t="s">
        <v>37</v>
      </c>
      <c r="C7" s="139">
        <f>'Prj Cost-CFL'!C10+'Prj Cost-CFL'!E10</f>
        <v>15</v>
      </c>
      <c r="D7" s="118" t="str">
        <f>'Prj Cost-CFL'!D10</f>
        <v>Chapter 12, Page 22 of TEVR; Quotation received for Line 1 by Precesion Engineering Works dated 21 November 2007</v>
      </c>
    </row>
    <row r="8" spans="2:4">
      <c r="B8" s="137" t="s">
        <v>72</v>
      </c>
      <c r="C8" s="139">
        <f>'Prj Cost-CFL'!C11+'Prj Cost-CFL'!E11</f>
        <v>29.09</v>
      </c>
      <c r="D8" s="118" t="str">
        <f>'Prj Cost-CFL'!D11</f>
        <v>Chapter 12, Page 22 of TEVR; Quotation received for Line 1 by Precesion Engineering Works dated 21 November 2007</v>
      </c>
    </row>
    <row r="9" spans="2:4">
      <c r="B9" s="137" t="s">
        <v>73</v>
      </c>
      <c r="C9" s="139">
        <f>'Prj Cost-CFL'!C12+'Prj Cost-CFL'!E12</f>
        <v>30</v>
      </c>
      <c r="D9" s="118" t="str">
        <f>'Prj Cost-CFL'!D12</f>
        <v>Chapter 12, Page 22 of TEVR; Quotation received for Line 1 by Precesion Engineering Works dated 21 November 2007</v>
      </c>
    </row>
    <row r="10" spans="2:4">
      <c r="B10" s="137" t="s">
        <v>74</v>
      </c>
      <c r="C10" s="139">
        <f>'Prj Cost-CFL'!C13+'Prj Cost-CFL'!E13</f>
        <v>58.15</v>
      </c>
      <c r="D10" s="118" t="str">
        <f>'Prj Cost-CFL'!D13</f>
        <v>Chapter 12, Page 22 of TEVR; Quotation received for Line 1 by Precesion Engineering Works dated 21 November 2007</v>
      </c>
    </row>
    <row r="11" spans="2:4">
      <c r="B11" s="137" t="s">
        <v>75</v>
      </c>
      <c r="C11" s="139">
        <f>'Prj Cost-CFL'!C14+'Prj Cost-CFL'!E14</f>
        <v>89.31</v>
      </c>
      <c r="D11" s="118" t="str">
        <f>'Prj Cost-CFL'!D14</f>
        <v>Chapter 12, Page 22 of TEVR; Quotation received for Line 1 by Precesion Engineering Works dated 21 November 2007</v>
      </c>
    </row>
    <row r="12" spans="2:4">
      <c r="B12" s="137" t="s">
        <v>270</v>
      </c>
      <c r="C12" s="139">
        <f>SUM(C4:C11)*(1+'Sensitivity Analysis'!D14)</f>
        <v>2257.3788</v>
      </c>
      <c r="D12" s="136"/>
    </row>
    <row r="13" spans="2:4" s="27" customFormat="1" ht="15" customHeight="1">
      <c r="B13" s="137" t="s">
        <v>92</v>
      </c>
      <c r="C13" s="158" t="s">
        <v>235</v>
      </c>
      <c r="D13" s="118" t="s">
        <v>240</v>
      </c>
    </row>
    <row r="14" spans="2:4" s="27" customFormat="1" ht="15" customHeight="1">
      <c r="B14" s="138" t="s">
        <v>59</v>
      </c>
      <c r="C14" s="139">
        <v>600</v>
      </c>
      <c r="D14" s="118" t="s">
        <v>240</v>
      </c>
    </row>
    <row r="15" spans="2:4" s="27" customFormat="1" ht="15" customHeight="1">
      <c r="B15" s="138" t="s">
        <v>60</v>
      </c>
      <c r="C15" s="139">
        <v>970</v>
      </c>
      <c r="D15" s="118" t="s">
        <v>240</v>
      </c>
    </row>
    <row r="16" spans="2:4" ht="38.25">
      <c r="B16" s="137" t="s">
        <v>205</v>
      </c>
      <c r="C16" s="44">
        <f>2*1200*(1+'Sensitivity Analysis'!D12)</f>
        <v>2400</v>
      </c>
      <c r="D16" s="118" t="s">
        <v>285</v>
      </c>
    </row>
    <row r="17" spans="2:4">
      <c r="B17" s="137" t="s">
        <v>206</v>
      </c>
      <c r="C17" s="44">
        <v>20</v>
      </c>
      <c r="D17" s="118" t="s">
        <v>241</v>
      </c>
    </row>
    <row r="18" spans="2:4">
      <c r="B18" s="137" t="s">
        <v>207</v>
      </c>
      <c r="C18" s="44">
        <v>300</v>
      </c>
      <c r="D18" s="118" t="s">
        <v>241</v>
      </c>
    </row>
    <row r="19" spans="2:4">
      <c r="B19" s="193" t="s">
        <v>79</v>
      </c>
      <c r="C19" s="193"/>
      <c r="D19" s="118"/>
    </row>
    <row r="20" spans="2:4">
      <c r="B20" s="137" t="s">
        <v>61</v>
      </c>
      <c r="C20" s="44">
        <f>7.48*(1+'Sensitivity Analysis'!$D$13)</f>
        <v>7.48</v>
      </c>
      <c r="D20" s="118" t="s">
        <v>163</v>
      </c>
    </row>
    <row r="21" spans="2:4">
      <c r="B21" s="137" t="s">
        <v>62</v>
      </c>
      <c r="C21" s="44">
        <f>26.52*(1+'Sensitivity Analysis'!$D$13)</f>
        <v>26.52</v>
      </c>
      <c r="D21" s="118" t="s">
        <v>163</v>
      </c>
    </row>
    <row r="22" spans="2:4">
      <c r="B22" s="137"/>
      <c r="C22" s="140"/>
      <c r="D22" s="118"/>
    </row>
    <row r="23" spans="2:4">
      <c r="B23" s="137" t="s">
        <v>273</v>
      </c>
      <c r="C23" s="159">
        <v>0</v>
      </c>
      <c r="D23" s="118" t="s">
        <v>280</v>
      </c>
    </row>
    <row r="24" spans="2:4">
      <c r="B24" s="137"/>
      <c r="C24" s="140"/>
      <c r="D24" s="118"/>
    </row>
    <row r="25" spans="2:4">
      <c r="B25" s="137" t="s">
        <v>97</v>
      </c>
      <c r="C25" s="160">
        <v>30</v>
      </c>
      <c r="D25" s="118" t="s">
        <v>281</v>
      </c>
    </row>
    <row r="26" spans="2:4">
      <c r="B26" s="137" t="s">
        <v>98</v>
      </c>
      <c r="C26" s="160">
        <v>0</v>
      </c>
      <c r="D26" s="118" t="s">
        <v>281</v>
      </c>
    </row>
    <row r="27" spans="2:4">
      <c r="B27" s="137" t="s">
        <v>203</v>
      </c>
      <c r="C27" s="149">
        <v>1</v>
      </c>
      <c r="D27" s="118" t="s">
        <v>241</v>
      </c>
    </row>
    <row r="28" spans="2:4">
      <c r="B28" s="137" t="s">
        <v>204</v>
      </c>
      <c r="C28" s="149">
        <f>1-C27</f>
        <v>0</v>
      </c>
      <c r="D28" s="118" t="s">
        <v>241</v>
      </c>
    </row>
    <row r="29" spans="2:4">
      <c r="B29" s="137" t="s">
        <v>82</v>
      </c>
      <c r="C29" s="141">
        <v>0.04</v>
      </c>
      <c r="D29" s="118" t="s">
        <v>196</v>
      </c>
    </row>
    <row r="30" spans="2:4">
      <c r="B30" s="137" t="s">
        <v>43</v>
      </c>
      <c r="C30" s="142"/>
      <c r="D30" s="136" t="s">
        <v>146</v>
      </c>
    </row>
    <row r="31" spans="2:4">
      <c r="B31" s="143" t="s">
        <v>182</v>
      </c>
      <c r="C31" s="46">
        <f>119.64*(8/12)</f>
        <v>79.759999999999991</v>
      </c>
      <c r="D31" s="136" t="s">
        <v>185</v>
      </c>
    </row>
    <row r="32" spans="2:4">
      <c r="B32" s="143" t="s">
        <v>183</v>
      </c>
      <c r="C32" s="144">
        <f>C31*(12/8)*1.05</f>
        <v>125.62199999999999</v>
      </c>
      <c r="D32" s="136" t="s">
        <v>242</v>
      </c>
    </row>
    <row r="33" spans="2:4">
      <c r="B33" s="143" t="s">
        <v>186</v>
      </c>
      <c r="C33" s="145">
        <v>0.05</v>
      </c>
      <c r="D33" s="136" t="s">
        <v>163</v>
      </c>
    </row>
    <row r="34" spans="2:4">
      <c r="B34" s="137" t="s">
        <v>44</v>
      </c>
      <c r="C34" s="142"/>
      <c r="D34" s="136" t="s">
        <v>162</v>
      </c>
    </row>
    <row r="35" spans="2:4">
      <c r="B35" s="143" t="s">
        <v>182</v>
      </c>
      <c r="C35" s="144">
        <f>176.47*(8/12)</f>
        <v>117.64666666666666</v>
      </c>
      <c r="D35" s="118" t="s">
        <v>243</v>
      </c>
    </row>
    <row r="36" spans="2:4">
      <c r="B36" s="143" t="s">
        <v>183</v>
      </c>
      <c r="C36" s="46">
        <v>209.48</v>
      </c>
      <c r="D36" s="118" t="s">
        <v>243</v>
      </c>
    </row>
    <row r="37" spans="2:4">
      <c r="B37" s="143" t="s">
        <v>184</v>
      </c>
      <c r="C37" s="46">
        <v>225.98</v>
      </c>
      <c r="D37" s="118" t="s">
        <v>243</v>
      </c>
    </row>
    <row r="38" spans="2:4">
      <c r="B38" s="143" t="s">
        <v>187</v>
      </c>
      <c r="C38" s="46">
        <v>242.49</v>
      </c>
      <c r="D38" s="118" t="s">
        <v>243</v>
      </c>
    </row>
    <row r="39" spans="2:4">
      <c r="B39" s="137" t="s">
        <v>45</v>
      </c>
      <c r="C39" s="146">
        <f>2.5%*SUM(C5:C7)</f>
        <v>46.270719999999997</v>
      </c>
      <c r="D39" s="118" t="s">
        <v>188</v>
      </c>
    </row>
    <row r="40" spans="2:4">
      <c r="B40" s="143" t="s">
        <v>186</v>
      </c>
      <c r="C40" s="147">
        <v>0.2</v>
      </c>
      <c r="D40" s="136" t="s">
        <v>163</v>
      </c>
    </row>
    <row r="41" spans="2:4">
      <c r="B41" s="137" t="s">
        <v>46</v>
      </c>
      <c r="C41" s="141">
        <v>0.03</v>
      </c>
      <c r="D41" s="118" t="s">
        <v>197</v>
      </c>
    </row>
    <row r="42" spans="2:4">
      <c r="B42" s="193" t="s">
        <v>63</v>
      </c>
      <c r="C42" s="193"/>
      <c r="D42" s="136" t="s">
        <v>163</v>
      </c>
    </row>
    <row r="43" spans="2:4">
      <c r="B43" s="137" t="s">
        <v>64</v>
      </c>
      <c r="C43" s="136"/>
      <c r="D43" s="136"/>
    </row>
    <row r="44" spans="2:4">
      <c r="B44" s="143" t="s">
        <v>198</v>
      </c>
      <c r="C44" s="147">
        <v>0.1</v>
      </c>
      <c r="D44" s="136" t="s">
        <v>244</v>
      </c>
    </row>
    <row r="45" spans="2:4">
      <c r="B45" s="143" t="s">
        <v>36</v>
      </c>
      <c r="C45" s="147">
        <v>0.15</v>
      </c>
      <c r="D45" s="136" t="s">
        <v>244</v>
      </c>
    </row>
    <row r="46" spans="2:4">
      <c r="B46" s="143" t="s">
        <v>199</v>
      </c>
      <c r="C46" s="147">
        <v>0.15</v>
      </c>
      <c r="D46" s="136" t="s">
        <v>244</v>
      </c>
    </row>
    <row r="47" spans="2:4">
      <c r="B47" s="137" t="s">
        <v>65</v>
      </c>
      <c r="C47" s="142"/>
      <c r="D47" s="136"/>
    </row>
    <row r="48" spans="2:4">
      <c r="B48" s="143" t="s">
        <v>198</v>
      </c>
      <c r="C48" s="47">
        <v>3.3399999999999999E-2</v>
      </c>
      <c r="D48" s="136" t="s">
        <v>245</v>
      </c>
    </row>
    <row r="49" spans="2:4">
      <c r="B49" s="143" t="s">
        <v>36</v>
      </c>
      <c r="C49" s="47">
        <v>5.28E-2</v>
      </c>
      <c r="D49" s="136" t="s">
        <v>245</v>
      </c>
    </row>
    <row r="50" spans="2:4">
      <c r="B50" s="143" t="s">
        <v>199</v>
      </c>
      <c r="C50" s="148">
        <v>5.28E-2</v>
      </c>
      <c r="D50" s="136" t="s">
        <v>245</v>
      </c>
    </row>
    <row r="51" spans="2:4" ht="51">
      <c r="B51" s="137" t="s">
        <v>277</v>
      </c>
      <c r="C51" s="142" t="s">
        <v>119</v>
      </c>
      <c r="D51" s="118" t="s">
        <v>163</v>
      </c>
    </row>
    <row r="52" spans="2:4">
      <c r="B52" s="143" t="s">
        <v>182</v>
      </c>
      <c r="C52" s="46">
        <f>8*2</f>
        <v>16</v>
      </c>
      <c r="D52" s="118" t="s">
        <v>163</v>
      </c>
    </row>
    <row r="53" spans="2:4">
      <c r="B53" s="143" t="s">
        <v>183</v>
      </c>
      <c r="C53" s="46">
        <f>2*12*1.1</f>
        <v>26.400000000000002</v>
      </c>
      <c r="D53" s="118" t="s">
        <v>163</v>
      </c>
    </row>
    <row r="54" spans="2:4">
      <c r="B54" s="143" t="s">
        <v>186</v>
      </c>
      <c r="C54" s="145">
        <v>0.1</v>
      </c>
      <c r="D54" s="118" t="s">
        <v>163</v>
      </c>
    </row>
    <row r="55" spans="2:4">
      <c r="B55" s="137" t="s">
        <v>69</v>
      </c>
      <c r="C55" s="47">
        <v>7.4999999999999997E-2</v>
      </c>
      <c r="D55" s="118" t="s">
        <v>200</v>
      </c>
    </row>
    <row r="56" spans="2:4">
      <c r="B56" s="137" t="s">
        <v>55</v>
      </c>
      <c r="C56" s="149">
        <v>0.13</v>
      </c>
      <c r="D56" s="187" t="s">
        <v>298</v>
      </c>
    </row>
    <row r="57" spans="2:4">
      <c r="B57" s="150" t="s">
        <v>236</v>
      </c>
      <c r="C57" s="149"/>
      <c r="D57" s="118"/>
    </row>
    <row r="58" spans="2:4" ht="25.5">
      <c r="B58" s="137" t="s">
        <v>70</v>
      </c>
      <c r="C58" s="145">
        <v>0.13</v>
      </c>
      <c r="D58" s="187" t="s">
        <v>299</v>
      </c>
    </row>
    <row r="59" spans="2:4">
      <c r="B59" s="143" t="s">
        <v>220</v>
      </c>
      <c r="C59" s="145">
        <v>0.7</v>
      </c>
      <c r="D59" s="118" t="s">
        <v>218</v>
      </c>
    </row>
    <row r="60" spans="2:4">
      <c r="B60" s="143" t="s">
        <v>219</v>
      </c>
      <c r="C60" s="151">
        <v>180</v>
      </c>
      <c r="D60" s="118" t="s">
        <v>218</v>
      </c>
    </row>
    <row r="61" spans="2:4">
      <c r="B61" s="138" t="s">
        <v>246</v>
      </c>
      <c r="C61" s="151">
        <v>72</v>
      </c>
      <c r="D61" s="118" t="s">
        <v>247</v>
      </c>
    </row>
    <row r="62" spans="2:4">
      <c r="B62" s="138" t="s">
        <v>248</v>
      </c>
      <c r="C62" s="151">
        <v>108</v>
      </c>
      <c r="D62" s="118" t="s">
        <v>247</v>
      </c>
    </row>
    <row r="63" spans="2:4">
      <c r="B63" s="143" t="s">
        <v>75</v>
      </c>
      <c r="C63" s="145">
        <v>0.25</v>
      </c>
      <c r="D63" s="118" t="s">
        <v>247</v>
      </c>
    </row>
    <row r="64" spans="2:4">
      <c r="B64" s="134" t="s">
        <v>123</v>
      </c>
      <c r="C64" s="152">
        <v>0.33989999999999998</v>
      </c>
      <c r="D64" s="153" t="s">
        <v>249</v>
      </c>
    </row>
    <row r="65" spans="2:4">
      <c r="B65" s="134" t="s">
        <v>140</v>
      </c>
      <c r="C65" s="154">
        <v>0.1133</v>
      </c>
      <c r="D65" s="153" t="s">
        <v>250</v>
      </c>
    </row>
    <row r="66" spans="2:4">
      <c r="B66" s="134" t="s">
        <v>201</v>
      </c>
      <c r="C66" s="154">
        <v>0.08</v>
      </c>
      <c r="D66" s="118" t="s">
        <v>241</v>
      </c>
    </row>
    <row r="67" spans="2:4">
      <c r="B67" s="134" t="s">
        <v>202</v>
      </c>
      <c r="C67" s="154">
        <v>0.125</v>
      </c>
      <c r="D67" s="155" t="s">
        <v>251</v>
      </c>
    </row>
    <row r="68" spans="2:4">
      <c r="B68" s="134" t="s">
        <v>193</v>
      </c>
      <c r="C68" s="137"/>
      <c r="D68" s="136"/>
    </row>
    <row r="69" spans="2:4">
      <c r="B69" s="134" t="s">
        <v>192</v>
      </c>
      <c r="C69" s="44">
        <f>0.8426</f>
        <v>0.84260000000000002</v>
      </c>
      <c r="D69" s="136" t="s">
        <v>282</v>
      </c>
    </row>
    <row r="70" spans="2:4">
      <c r="B70" s="134" t="s">
        <v>194</v>
      </c>
      <c r="C70" s="44">
        <v>15</v>
      </c>
      <c r="D70" s="156" t="s">
        <v>259</v>
      </c>
    </row>
    <row r="71" spans="2:4" ht="25.5">
      <c r="B71" s="134" t="s">
        <v>252</v>
      </c>
      <c r="C71" s="44">
        <v>60.48</v>
      </c>
      <c r="D71" s="155" t="s">
        <v>253</v>
      </c>
    </row>
    <row r="72" spans="2:4">
      <c r="B72" s="137"/>
      <c r="C72" s="137"/>
      <c r="D72" s="136"/>
    </row>
    <row r="73" spans="2:4">
      <c r="B73" s="137" t="s">
        <v>272</v>
      </c>
      <c r="C73" s="149">
        <v>0.03</v>
      </c>
      <c r="D73" s="157" t="s">
        <v>286</v>
      </c>
    </row>
  </sheetData>
  <mergeCells count="3">
    <mergeCell ref="B2:C2"/>
    <mergeCell ref="B42:C42"/>
    <mergeCell ref="B19:C19"/>
  </mergeCells>
  <phoneticPr fontId="0" type="noConversion"/>
  <hyperlinks>
    <hyperlink ref="D71" r:id="rId1" display="http://www.rbi.org.in/scripts/ReferenceRateArchive.aspx"/>
    <hyperlink ref="D67" r:id="rId2" display="https://www.apcommercialtaxes.gov.in/allacts/vat/whitepaper_VAT.doc"/>
    <hyperlink ref="D70" r:id="rId3"/>
    <hyperlink ref="D64" r:id="rId4"/>
    <hyperlink ref="D65" r:id="rId5"/>
  </hyperlinks>
  <pageMargins left="0.75" right="0.75" top="1" bottom="1" header="0.5" footer="0.5"/>
  <pageSetup paperSize="9" orientation="portrait" r:id="rId6"/>
  <headerFooter alignWithMargins="0"/>
  <legacyDrawing r:id="rId7"/>
</worksheet>
</file>

<file path=xl/worksheets/sheet10.xml><?xml version="1.0" encoding="utf-8"?>
<worksheet xmlns="http://schemas.openxmlformats.org/spreadsheetml/2006/main" xmlns:r="http://schemas.openxmlformats.org/officeDocument/2006/relationships">
  <sheetPr codeName="Sheet10">
    <tabColor rgb="FFFFC000"/>
  </sheetPr>
  <dimension ref="B1:F49"/>
  <sheetViews>
    <sheetView showGridLines="0" workbookViewId="0">
      <selection activeCell="C52" sqref="C52"/>
    </sheetView>
  </sheetViews>
  <sheetFormatPr defaultRowHeight="12.75"/>
  <cols>
    <col min="1" max="1" width="9.140625" style="65"/>
    <col min="2" max="2" width="44.42578125" style="65" bestFit="1" customWidth="1"/>
    <col min="3" max="3" width="16" style="65" customWidth="1"/>
    <col min="4" max="4" width="65.28515625" style="65" customWidth="1"/>
    <col min="5" max="6" width="9.140625" style="65"/>
    <col min="7" max="7" width="9.42578125" style="65" bestFit="1" customWidth="1"/>
    <col min="8" max="16384" width="9.140625" style="65"/>
  </cols>
  <sheetData>
    <row r="1" spans="2:4" ht="26.25">
      <c r="B1" s="163" t="s">
        <v>108</v>
      </c>
    </row>
    <row r="2" spans="2:4">
      <c r="B2" s="185" t="s">
        <v>22</v>
      </c>
      <c r="C2" s="185" t="s">
        <v>294</v>
      </c>
      <c r="D2" s="185" t="s">
        <v>149</v>
      </c>
    </row>
    <row r="3" spans="2:4">
      <c r="B3" s="212" t="s">
        <v>96</v>
      </c>
      <c r="C3" s="212"/>
      <c r="D3" s="172"/>
    </row>
    <row r="4" spans="2:4">
      <c r="B4" s="172" t="s">
        <v>38</v>
      </c>
      <c r="C4" s="179">
        <v>200</v>
      </c>
      <c r="D4" s="165" t="s">
        <v>260</v>
      </c>
    </row>
    <row r="5" spans="2:4">
      <c r="B5" s="172" t="s">
        <v>66</v>
      </c>
      <c r="C5" s="179">
        <v>355</v>
      </c>
      <c r="D5" s="165" t="s">
        <v>260</v>
      </c>
    </row>
    <row r="6" spans="2:4">
      <c r="B6" s="172" t="s">
        <v>35</v>
      </c>
      <c r="C6" s="179">
        <v>220</v>
      </c>
      <c r="D6" s="165" t="s">
        <v>260</v>
      </c>
    </row>
    <row r="7" spans="2:4">
      <c r="B7" s="172" t="s">
        <v>72</v>
      </c>
      <c r="C7" s="180">
        <v>25</v>
      </c>
      <c r="D7" s="165" t="s">
        <v>260</v>
      </c>
    </row>
    <row r="8" spans="2:4">
      <c r="B8" s="172" t="s">
        <v>73</v>
      </c>
      <c r="C8" s="180">
        <v>15</v>
      </c>
      <c r="D8" s="165" t="s">
        <v>260</v>
      </c>
    </row>
    <row r="9" spans="2:4">
      <c r="B9" s="172" t="s">
        <v>74</v>
      </c>
      <c r="C9" s="180">
        <v>10</v>
      </c>
      <c r="D9" s="165" t="s">
        <v>260</v>
      </c>
    </row>
    <row r="10" spans="2:4">
      <c r="B10" s="172" t="s">
        <v>75</v>
      </c>
      <c r="C10" s="180">
        <v>30</v>
      </c>
      <c r="D10" s="165" t="s">
        <v>260</v>
      </c>
    </row>
    <row r="11" spans="2:4" s="66" customFormat="1" ht="15" customHeight="1">
      <c r="B11" s="174" t="s">
        <v>92</v>
      </c>
      <c r="C11" s="181" t="s">
        <v>93</v>
      </c>
      <c r="D11" s="172"/>
    </row>
    <row r="12" spans="2:4">
      <c r="B12" s="166" t="s">
        <v>60</v>
      </c>
      <c r="C12" s="180">
        <f>(2/3)*'Prj Cost-IL'!$C$13</f>
        <v>570</v>
      </c>
      <c r="D12" s="165" t="s">
        <v>254</v>
      </c>
    </row>
    <row r="13" spans="2:4">
      <c r="B13" s="166" t="s">
        <v>59</v>
      </c>
      <c r="C13" s="180">
        <f>(1/3)*'Prj Cost-IL'!$C$13</f>
        <v>285</v>
      </c>
      <c r="D13" s="165" t="s">
        <v>254</v>
      </c>
    </row>
    <row r="14" spans="2:4">
      <c r="B14" s="172"/>
      <c r="C14" s="172"/>
      <c r="D14" s="172"/>
    </row>
    <row r="15" spans="2:4">
      <c r="B15" s="212" t="s">
        <v>79</v>
      </c>
      <c r="C15" s="212"/>
      <c r="D15" s="172"/>
    </row>
    <row r="16" spans="2:4">
      <c r="B16" s="175" t="s">
        <v>80</v>
      </c>
      <c r="C16" s="176">
        <f>2000*(1+'Sensitivity Analysis'!D12)</f>
        <v>2000</v>
      </c>
      <c r="D16" s="165" t="s">
        <v>260</v>
      </c>
    </row>
    <row r="17" spans="2:6">
      <c r="B17" s="175" t="s">
        <v>190</v>
      </c>
      <c r="C17" s="176">
        <f>C16*20*300</f>
        <v>12000000</v>
      </c>
      <c r="D17" s="165" t="s">
        <v>255</v>
      </c>
    </row>
    <row r="18" spans="2:6">
      <c r="B18" s="172" t="s">
        <v>81</v>
      </c>
      <c r="C18" s="180">
        <f>4*(1+'Sensitivity Analysis'!$D$13)</f>
        <v>4</v>
      </c>
      <c r="D18" s="165" t="s">
        <v>260</v>
      </c>
    </row>
    <row r="19" spans="2:6">
      <c r="B19" s="172" t="s">
        <v>82</v>
      </c>
      <c r="C19" s="176">
        <v>0.5</v>
      </c>
      <c r="D19" s="165" t="s">
        <v>260</v>
      </c>
    </row>
    <row r="20" spans="2:6">
      <c r="B20" s="172" t="s">
        <v>95</v>
      </c>
      <c r="C20" s="178">
        <v>0.75</v>
      </c>
      <c r="D20" s="165" t="s">
        <v>260</v>
      </c>
    </row>
    <row r="21" spans="2:6">
      <c r="B21" s="172" t="s">
        <v>83</v>
      </c>
      <c r="C21" s="176">
        <v>1.5</v>
      </c>
      <c r="D21" s="165" t="s">
        <v>260</v>
      </c>
    </row>
    <row r="22" spans="2:6">
      <c r="B22" s="172" t="s">
        <v>91</v>
      </c>
      <c r="C22" s="178">
        <v>10</v>
      </c>
      <c r="D22" s="165" t="s">
        <v>260</v>
      </c>
    </row>
    <row r="23" spans="2:6">
      <c r="B23" s="172" t="s">
        <v>84</v>
      </c>
      <c r="C23" s="176">
        <v>0.75</v>
      </c>
      <c r="D23" s="165" t="s">
        <v>260</v>
      </c>
    </row>
    <row r="24" spans="2:6">
      <c r="B24" s="212" t="s">
        <v>63</v>
      </c>
      <c r="C24" s="212"/>
      <c r="D24" s="165"/>
    </row>
    <row r="25" spans="2:6">
      <c r="B25" s="165" t="s">
        <v>64</v>
      </c>
      <c r="C25" s="165"/>
      <c r="D25" s="165"/>
    </row>
    <row r="26" spans="2:6" s="68" customFormat="1">
      <c r="B26" s="166" t="s">
        <v>71</v>
      </c>
      <c r="C26" s="167">
        <v>0.1</v>
      </c>
      <c r="D26" s="165" t="s">
        <v>256</v>
      </c>
      <c r="E26" s="67"/>
      <c r="F26" s="67"/>
    </row>
    <row r="27" spans="2:6" s="68" customFormat="1">
      <c r="B27" s="166" t="s">
        <v>36</v>
      </c>
      <c r="C27" s="167">
        <v>0.15</v>
      </c>
      <c r="D27" s="165" t="s">
        <v>256</v>
      </c>
      <c r="E27" s="67"/>
      <c r="F27" s="67"/>
    </row>
    <row r="28" spans="2:6">
      <c r="B28" s="165" t="s">
        <v>65</v>
      </c>
      <c r="C28" s="165"/>
      <c r="D28" s="165"/>
    </row>
    <row r="29" spans="2:6" s="68" customFormat="1">
      <c r="B29" s="166" t="s">
        <v>71</v>
      </c>
      <c r="C29" s="168">
        <v>3.3399999999999999E-2</v>
      </c>
      <c r="D29" s="165" t="s">
        <v>257</v>
      </c>
      <c r="E29" s="67"/>
      <c r="F29" s="67"/>
    </row>
    <row r="30" spans="2:6" s="68" customFormat="1">
      <c r="B30" s="166" t="s">
        <v>36</v>
      </c>
      <c r="C30" s="168">
        <v>5.28E-2</v>
      </c>
      <c r="D30" s="165" t="s">
        <v>257</v>
      </c>
      <c r="E30" s="67"/>
      <c r="F30" s="67"/>
    </row>
    <row r="31" spans="2:6">
      <c r="B31" s="164"/>
      <c r="C31" s="172"/>
      <c r="D31" s="165"/>
    </row>
    <row r="32" spans="2:6">
      <c r="B32" s="172" t="s">
        <v>68</v>
      </c>
      <c r="C32" s="172" t="s">
        <v>85</v>
      </c>
      <c r="D32" s="165" t="s">
        <v>260</v>
      </c>
    </row>
    <row r="33" spans="2:6">
      <c r="B33" s="166" t="s">
        <v>182</v>
      </c>
      <c r="C33" s="176">
        <f>0.7*8</f>
        <v>5.6</v>
      </c>
      <c r="D33" s="165" t="s">
        <v>261</v>
      </c>
    </row>
    <row r="34" spans="2:6">
      <c r="B34" s="166" t="s">
        <v>183</v>
      </c>
      <c r="C34" s="176">
        <f>0.7*12*1.1</f>
        <v>9.2399999999999984</v>
      </c>
      <c r="D34" s="165" t="s">
        <v>260</v>
      </c>
    </row>
    <row r="35" spans="2:6">
      <c r="B35" s="166" t="s">
        <v>191</v>
      </c>
      <c r="C35" s="177">
        <v>0.1</v>
      </c>
      <c r="D35" s="165" t="s">
        <v>260</v>
      </c>
    </row>
    <row r="36" spans="2:6">
      <c r="B36" s="172"/>
      <c r="C36" s="172"/>
      <c r="D36" s="165"/>
    </row>
    <row r="37" spans="2:6">
      <c r="B37" s="172" t="s">
        <v>86</v>
      </c>
      <c r="C37" s="169">
        <v>0.25</v>
      </c>
      <c r="D37" s="165" t="s">
        <v>260</v>
      </c>
    </row>
    <row r="38" spans="2:6" ht="25.5">
      <c r="B38" s="172" t="s">
        <v>55</v>
      </c>
      <c r="C38" s="177">
        <f>13%*(1+'Sensitivity Analysis'!D16)</f>
        <v>0.13</v>
      </c>
      <c r="D38" s="165" t="s">
        <v>262</v>
      </c>
    </row>
    <row r="39" spans="2:6">
      <c r="B39" s="172" t="s">
        <v>70</v>
      </c>
      <c r="C39" s="177">
        <v>0.13</v>
      </c>
      <c r="D39" s="165" t="s">
        <v>263</v>
      </c>
    </row>
    <row r="40" spans="2:6" s="68" customFormat="1">
      <c r="B40" s="166" t="s">
        <v>220</v>
      </c>
      <c r="C40" s="167">
        <v>0.7</v>
      </c>
      <c r="D40" s="169" t="s">
        <v>264</v>
      </c>
    </row>
    <row r="41" spans="2:6" s="68" customFormat="1">
      <c r="B41" s="166" t="s">
        <v>219</v>
      </c>
      <c r="C41" s="170">
        <v>180</v>
      </c>
      <c r="D41" s="171" t="s">
        <v>265</v>
      </c>
    </row>
    <row r="42" spans="2:6" s="68" customFormat="1">
      <c r="B42" s="166" t="s">
        <v>246</v>
      </c>
      <c r="C42" s="170">
        <v>72</v>
      </c>
      <c r="D42" s="171" t="s">
        <v>265</v>
      </c>
    </row>
    <row r="43" spans="2:6" s="68" customFormat="1">
      <c r="B43" s="166" t="s">
        <v>248</v>
      </c>
      <c r="C43" s="170">
        <v>108</v>
      </c>
      <c r="D43" s="171" t="s">
        <v>265</v>
      </c>
    </row>
    <row r="44" spans="2:6" s="68" customFormat="1">
      <c r="B44" s="166" t="s">
        <v>75</v>
      </c>
      <c r="C44" s="167">
        <v>0.25</v>
      </c>
      <c r="D44" s="171" t="s">
        <v>265</v>
      </c>
    </row>
    <row r="45" spans="2:6">
      <c r="B45" s="172" t="s">
        <v>145</v>
      </c>
      <c r="C45" s="178">
        <v>15</v>
      </c>
      <c r="D45" s="165" t="s">
        <v>175</v>
      </c>
    </row>
    <row r="46" spans="2:6" ht="25.5">
      <c r="B46" s="172" t="s">
        <v>123</v>
      </c>
      <c r="C46" s="168">
        <v>0.33989999999999998</v>
      </c>
      <c r="D46" s="153" t="s">
        <v>249</v>
      </c>
    </row>
    <row r="47" spans="2:6">
      <c r="B47" s="172" t="s">
        <v>140</v>
      </c>
      <c r="C47" s="173">
        <v>0.1133</v>
      </c>
      <c r="D47" s="153" t="s">
        <v>250</v>
      </c>
    </row>
    <row r="48" spans="2:6" s="68" customFormat="1">
      <c r="B48" s="172" t="s">
        <v>201</v>
      </c>
      <c r="C48" s="173">
        <v>0.08</v>
      </c>
      <c r="D48" s="165" t="s">
        <v>258</v>
      </c>
      <c r="E48" s="67"/>
      <c r="F48" s="67"/>
    </row>
    <row r="49" spans="2:6" s="68" customFormat="1" ht="25.5">
      <c r="B49" s="172" t="s">
        <v>202</v>
      </c>
      <c r="C49" s="173">
        <v>0.125</v>
      </c>
      <c r="D49" s="153" t="s">
        <v>251</v>
      </c>
      <c r="E49" s="67"/>
      <c r="F49" s="67"/>
    </row>
  </sheetData>
  <mergeCells count="3">
    <mergeCell ref="B3:C3"/>
    <mergeCell ref="B24:C24"/>
    <mergeCell ref="B15:C15"/>
  </mergeCells>
  <phoneticPr fontId="0" type="noConversion"/>
  <hyperlinks>
    <hyperlink ref="D45" r:id="rId1"/>
    <hyperlink ref="D49" r:id="rId2"/>
    <hyperlink ref="D46" r:id="rId3"/>
    <hyperlink ref="D47" r:id="rId4"/>
  </hyperlinks>
  <pageMargins left="0.75" right="0.75" top="1" bottom="1" header="0.5" footer="0.5"/>
  <pageSetup paperSize="9" orientation="portrait" r:id="rId5"/>
  <headerFooter alignWithMargins="0"/>
</worksheet>
</file>

<file path=xl/worksheets/sheet11.xml><?xml version="1.0" encoding="utf-8"?>
<worksheet xmlns="http://schemas.openxmlformats.org/spreadsheetml/2006/main" xmlns:r="http://schemas.openxmlformats.org/officeDocument/2006/relationships">
  <sheetPr codeName="Sheet11">
    <tabColor rgb="FFFFC000"/>
    <pageSetUpPr fitToPage="1"/>
  </sheetPr>
  <dimension ref="B1:I29"/>
  <sheetViews>
    <sheetView showGridLines="0" workbookViewId="0">
      <selection activeCell="C14" sqref="C14"/>
    </sheetView>
  </sheetViews>
  <sheetFormatPr defaultColWidth="0" defaultRowHeight="13.5" zeroHeight="1"/>
  <cols>
    <col min="1" max="1" width="9.140625" style="3" customWidth="1"/>
    <col min="2" max="2" width="50" style="3" bestFit="1" customWidth="1"/>
    <col min="3" max="3" width="12.140625" style="3" bestFit="1" customWidth="1"/>
    <col min="4" max="4" width="38" style="3" customWidth="1"/>
    <col min="5" max="5" width="11.42578125" style="3" hidden="1" customWidth="1"/>
    <col min="6" max="16384" width="0" style="3" hidden="1"/>
  </cols>
  <sheetData>
    <row r="1" spans="2:9" ht="15" customHeight="1"/>
    <row r="2" spans="2:9" ht="15" customHeight="1"/>
    <row r="3" spans="2:9" ht="15" customHeight="1">
      <c r="B3" s="213" t="s">
        <v>33</v>
      </c>
      <c r="C3" s="213"/>
    </row>
    <row r="4" spans="2:9" ht="15" customHeight="1">
      <c r="B4" s="182"/>
      <c r="C4" s="182"/>
      <c r="D4" s="31"/>
    </row>
    <row r="5" spans="2:9" ht="15" customHeight="1">
      <c r="B5" s="1" t="s">
        <v>22</v>
      </c>
      <c r="C5" s="1" t="s">
        <v>0</v>
      </c>
      <c r="D5" s="31" t="s">
        <v>296</v>
      </c>
    </row>
    <row r="6" spans="2:9" ht="15" customHeight="1">
      <c r="B6" s="2" t="s">
        <v>38</v>
      </c>
      <c r="C6" s="11">
        <f>+'Assum-IL'!C4</f>
        <v>200</v>
      </c>
      <c r="D6" s="31" t="s">
        <v>284</v>
      </c>
      <c r="I6" s="6"/>
    </row>
    <row r="7" spans="2:9" ht="15" customHeight="1">
      <c r="B7" s="2" t="s">
        <v>71</v>
      </c>
      <c r="C7" s="11">
        <f>+'Assum-IL'!C6</f>
        <v>220</v>
      </c>
      <c r="D7" s="31" t="s">
        <v>284</v>
      </c>
      <c r="I7" s="6"/>
    </row>
    <row r="8" spans="2:9" ht="15" customHeight="1">
      <c r="B8" s="183" t="s">
        <v>36</v>
      </c>
      <c r="C8" s="11">
        <f>+'Assum-IL'!C5</f>
        <v>355</v>
      </c>
      <c r="D8" s="31" t="s">
        <v>284</v>
      </c>
      <c r="I8" s="6"/>
    </row>
    <row r="9" spans="2:9" ht="15" customHeight="1">
      <c r="B9" s="2" t="s">
        <v>72</v>
      </c>
      <c r="C9" s="11">
        <f>+'Assum-IL'!C7</f>
        <v>25</v>
      </c>
      <c r="D9" s="31" t="s">
        <v>284</v>
      </c>
      <c r="I9" s="6"/>
    </row>
    <row r="10" spans="2:9" ht="15" customHeight="1">
      <c r="B10" s="2" t="s">
        <v>73</v>
      </c>
      <c r="C10" s="11">
        <f>+'Assum-IL'!C8</f>
        <v>15</v>
      </c>
      <c r="D10" s="31" t="s">
        <v>284</v>
      </c>
      <c r="I10" s="6"/>
    </row>
    <row r="11" spans="2:9" ht="15" customHeight="1">
      <c r="B11" s="2" t="s">
        <v>74</v>
      </c>
      <c r="C11" s="11">
        <f>+'Assum-IL'!C9</f>
        <v>10</v>
      </c>
      <c r="D11" s="31" t="s">
        <v>284</v>
      </c>
      <c r="I11" s="6"/>
    </row>
    <row r="12" spans="2:9" ht="15" customHeight="1">
      <c r="B12" s="2" t="s">
        <v>75</v>
      </c>
      <c r="C12" s="11">
        <f>+'Assum-IL'!C10</f>
        <v>30</v>
      </c>
      <c r="D12" s="31" t="s">
        <v>284</v>
      </c>
      <c r="I12" s="6"/>
    </row>
    <row r="13" spans="2:9" ht="15" customHeight="1">
      <c r="B13" s="2" t="s">
        <v>295</v>
      </c>
      <c r="C13" s="1">
        <f>SUM(C6:C12)*(1+'Sensitivity Analysis'!D14)</f>
        <v>855</v>
      </c>
      <c r="D13" s="31"/>
      <c r="H13" s="6"/>
    </row>
    <row r="14" spans="2:9"/>
    <row r="15" spans="2:9"/>
    <row r="16" spans="2:9"/>
    <row r="17"/>
    <row r="18"/>
    <row r="19"/>
    <row r="20"/>
    <row r="21"/>
    <row r="22"/>
    <row r="23"/>
    <row r="24"/>
    <row r="25"/>
    <row r="26"/>
    <row r="27"/>
    <row r="28"/>
    <row r="29"/>
  </sheetData>
  <mergeCells count="1">
    <mergeCell ref="B3:C3"/>
  </mergeCells>
  <phoneticPr fontId="0" type="noConversion"/>
  <printOptions horizontalCentered="1" verticalCentered="1"/>
  <pageMargins left="0" right="0" top="0" bottom="0" header="0" footer="0"/>
  <pageSetup orientation="landscape" r:id="rId1"/>
  <headerFooter alignWithMargins="0"/>
</worksheet>
</file>

<file path=xl/worksheets/sheet12.xml><?xml version="1.0" encoding="utf-8"?>
<worksheet xmlns="http://schemas.openxmlformats.org/spreadsheetml/2006/main" xmlns:r="http://schemas.openxmlformats.org/officeDocument/2006/relationships">
  <sheetPr codeName="Sheet12">
    <tabColor rgb="FFFFC000"/>
    <pageSetUpPr fitToPage="1"/>
  </sheetPr>
  <dimension ref="A2:X32"/>
  <sheetViews>
    <sheetView showGridLines="0" zoomScale="90" zoomScaleNormal="90" workbookViewId="0">
      <pane xSplit="1" ySplit="3" topLeftCell="B4" activePane="bottomRight" state="frozen"/>
      <selection activeCell="J30" sqref="J30"/>
      <selection pane="topRight" activeCell="J30" sqref="J30"/>
      <selection pane="bottomLeft" activeCell="J30" sqref="J30"/>
      <selection pane="bottomRight" activeCell="E8" sqref="E8"/>
    </sheetView>
  </sheetViews>
  <sheetFormatPr defaultColWidth="6.85546875" defaultRowHeight="13.5"/>
  <cols>
    <col min="1" max="1" width="31.140625" style="4" bestFit="1" customWidth="1"/>
    <col min="2" max="2" width="8" style="4" bestFit="1" customWidth="1"/>
    <col min="3" max="19" width="10.42578125" style="4" bestFit="1" customWidth="1"/>
    <col min="20" max="21" width="10.5703125" style="4" bestFit="1" customWidth="1"/>
    <col min="22" max="22" width="8.5703125" style="4" bestFit="1" customWidth="1"/>
    <col min="23" max="24" width="9.140625" style="4" customWidth="1"/>
    <col min="25" max="255" width="9.140625" style="6" customWidth="1"/>
    <col min="256" max="256" width="6.85546875" style="6" bestFit="1"/>
    <col min="257" max="16384" width="6.85546875" style="6"/>
  </cols>
  <sheetData>
    <row r="2" spans="1:24" ht="30" customHeight="1">
      <c r="A2" s="17" t="s">
        <v>87</v>
      </c>
      <c r="B2" s="216" t="s">
        <v>94</v>
      </c>
      <c r="C2" s="216"/>
      <c r="D2" s="216"/>
      <c r="E2" s="6"/>
      <c r="F2" s="6"/>
      <c r="G2" s="6"/>
      <c r="H2" s="6"/>
      <c r="I2" s="6"/>
      <c r="J2" s="6"/>
      <c r="K2" s="6"/>
      <c r="L2" s="6"/>
      <c r="M2" s="6"/>
      <c r="N2" s="6"/>
      <c r="O2" s="6"/>
      <c r="P2" s="6"/>
      <c r="Q2" s="6"/>
      <c r="R2" s="6"/>
      <c r="S2" s="6"/>
      <c r="T2" s="6"/>
      <c r="U2" s="6"/>
    </row>
    <row r="3" spans="1:24" ht="17.25" customHeight="1">
      <c r="A3" s="214"/>
      <c r="B3" s="214"/>
      <c r="C3" s="214"/>
      <c r="D3" s="214"/>
      <c r="E3" s="215"/>
      <c r="F3" s="215"/>
      <c r="G3" s="215"/>
      <c r="H3" s="215"/>
      <c r="I3" s="215"/>
      <c r="J3" s="215"/>
      <c r="K3" s="215"/>
      <c r="L3" s="215"/>
      <c r="M3" s="215"/>
      <c r="N3" s="184"/>
      <c r="O3" s="184"/>
      <c r="P3" s="184"/>
      <c r="Q3" s="184"/>
      <c r="R3" s="184"/>
      <c r="S3" s="184"/>
      <c r="T3" s="184"/>
      <c r="U3" s="184"/>
    </row>
    <row r="4" spans="1:24" ht="13.5" customHeight="1">
      <c r="A4" s="1" t="s">
        <v>1</v>
      </c>
      <c r="B4" s="1"/>
      <c r="C4" s="12" t="s">
        <v>2</v>
      </c>
      <c r="D4" s="12" t="s">
        <v>3</v>
      </c>
      <c r="E4" s="12" t="s">
        <v>4</v>
      </c>
      <c r="F4" s="12" t="s">
        <v>5</v>
      </c>
      <c r="G4" s="12" t="s">
        <v>6</v>
      </c>
      <c r="H4" s="12" t="s">
        <v>7</v>
      </c>
      <c r="I4" s="12" t="s">
        <v>8</v>
      </c>
      <c r="J4" s="12" t="s">
        <v>9</v>
      </c>
      <c r="K4" s="12" t="s">
        <v>10</v>
      </c>
      <c r="L4" s="12" t="s">
        <v>11</v>
      </c>
      <c r="M4" s="12" t="s">
        <v>12</v>
      </c>
      <c r="N4" s="12" t="s">
        <v>13</v>
      </c>
      <c r="O4" s="12" t="s">
        <v>14</v>
      </c>
      <c r="P4" s="12" t="s">
        <v>15</v>
      </c>
      <c r="Q4" s="12" t="s">
        <v>16</v>
      </c>
      <c r="R4" s="12" t="s">
        <v>17</v>
      </c>
      <c r="S4" s="12" t="s">
        <v>18</v>
      </c>
      <c r="T4" s="12" t="s">
        <v>19</v>
      </c>
      <c r="U4" s="12" t="s">
        <v>20</v>
      </c>
      <c r="V4" s="12" t="s">
        <v>21</v>
      </c>
      <c r="W4" s="12" t="s">
        <v>234</v>
      </c>
    </row>
    <row r="5" spans="1:24" ht="13.5" customHeight="1">
      <c r="A5" s="2" t="s">
        <v>88</v>
      </c>
      <c r="B5" s="2"/>
      <c r="C5" s="18">
        <f>'P&amp;L-IL'!D6</f>
        <v>4000000</v>
      </c>
      <c r="D5" s="18">
        <f>'P&amp;L-IL'!E6</f>
        <v>7200000</v>
      </c>
      <c r="E5" s="18">
        <f>'P&amp;L-IL'!F6</f>
        <v>8400000</v>
      </c>
      <c r="F5" s="18">
        <f>'P&amp;L-IL'!G6</f>
        <v>8400000</v>
      </c>
      <c r="G5" s="18">
        <f>'P&amp;L-IL'!H6</f>
        <v>8400000</v>
      </c>
      <c r="H5" s="18">
        <f>'P&amp;L-IL'!I6</f>
        <v>8400000</v>
      </c>
      <c r="I5" s="18">
        <f>'P&amp;L-IL'!J6</f>
        <v>8400000</v>
      </c>
      <c r="J5" s="18">
        <f>'P&amp;L-IL'!K6</f>
        <v>8400000</v>
      </c>
      <c r="K5" s="18">
        <f>'P&amp;L-IL'!L6</f>
        <v>8400000</v>
      </c>
      <c r="L5" s="18">
        <f>'P&amp;L-IL'!M6</f>
        <v>8400000</v>
      </c>
      <c r="M5" s="18">
        <f>'P&amp;L-IL'!N6</f>
        <v>8400000</v>
      </c>
      <c r="N5" s="18">
        <f>'P&amp;L-IL'!O6</f>
        <v>8400000</v>
      </c>
      <c r="O5" s="18">
        <f>'P&amp;L-IL'!P6</f>
        <v>8400000</v>
      </c>
      <c r="P5" s="18">
        <f>'P&amp;L-IL'!Q6</f>
        <v>8400000</v>
      </c>
      <c r="Q5" s="18">
        <f>'P&amp;L-IL'!R6</f>
        <v>8400000</v>
      </c>
      <c r="R5" s="18">
        <f>'P&amp;L-IL'!S6</f>
        <v>8400000</v>
      </c>
      <c r="S5" s="18">
        <f>'P&amp;L-IL'!T6</f>
        <v>8400000</v>
      </c>
      <c r="T5" s="18">
        <f>'P&amp;L-IL'!U6</f>
        <v>8400000</v>
      </c>
      <c r="U5" s="18">
        <f>'P&amp;L-IL'!V6</f>
        <v>8400000</v>
      </c>
      <c r="V5" s="18">
        <f>'P&amp;L-IL'!W6</f>
        <v>8400000</v>
      </c>
      <c r="W5" s="18">
        <f>'P&amp;L-IL'!X6</f>
        <v>2800000</v>
      </c>
    </row>
    <row r="6" spans="1:24" ht="13.5" customHeight="1">
      <c r="A6" s="2" t="s">
        <v>41</v>
      </c>
      <c r="B6" s="2"/>
      <c r="C6" s="18">
        <f>C5*'Assum-IL'!$C$18/100000</f>
        <v>160</v>
      </c>
      <c r="D6" s="18">
        <f>D5*'Assum-IL'!$C$18/100000</f>
        <v>288</v>
      </c>
      <c r="E6" s="18">
        <f>E5*'Assum-IL'!$C$18/100000</f>
        <v>336</v>
      </c>
      <c r="F6" s="18">
        <f>F5*'Assum-IL'!$C$18/100000</f>
        <v>336</v>
      </c>
      <c r="G6" s="18">
        <f>G5*'Assum-IL'!$C$18/100000</f>
        <v>336</v>
      </c>
      <c r="H6" s="18">
        <f>H5*'Assum-IL'!$C$18/100000</f>
        <v>336</v>
      </c>
      <c r="I6" s="18">
        <f>I5*'Assum-IL'!$C$18/100000</f>
        <v>336</v>
      </c>
      <c r="J6" s="18">
        <f>J5*'Assum-IL'!$C$18/100000</f>
        <v>336</v>
      </c>
      <c r="K6" s="18">
        <f>K5*'Assum-IL'!$C$18/100000</f>
        <v>336</v>
      </c>
      <c r="L6" s="18">
        <f>L5*'Assum-IL'!$C$18/100000</f>
        <v>336</v>
      </c>
      <c r="M6" s="18">
        <f>M5*'Assum-IL'!$C$18/100000</f>
        <v>336</v>
      </c>
      <c r="N6" s="18">
        <f>N5*'Assum-IL'!$C$18/100000</f>
        <v>336</v>
      </c>
      <c r="O6" s="18">
        <f>O5*'Assum-IL'!$C$18/100000</f>
        <v>336</v>
      </c>
      <c r="P6" s="18">
        <f>P5*'Assum-IL'!$C$18/100000</f>
        <v>336</v>
      </c>
      <c r="Q6" s="18">
        <f>Q5*'Assum-IL'!$C$18/100000</f>
        <v>336</v>
      </c>
      <c r="R6" s="18">
        <f>R5*'Assum-IL'!$C$18/100000</f>
        <v>336</v>
      </c>
      <c r="S6" s="18">
        <f>S5*'Assum-IL'!$C$18/100000</f>
        <v>336</v>
      </c>
      <c r="T6" s="18">
        <f>T5*'Assum-IL'!$C$18/100000</f>
        <v>336</v>
      </c>
      <c r="U6" s="18">
        <f>U5*'Assum-IL'!$C$18/100000</f>
        <v>336</v>
      </c>
      <c r="V6" s="18">
        <f>V5*'Assum-IL'!$C$18/100000</f>
        <v>336</v>
      </c>
      <c r="W6" s="18">
        <f>W5*'Assum-IL'!$C$18/100000</f>
        <v>112</v>
      </c>
    </row>
    <row r="7" spans="1:24">
      <c r="A7" s="13" t="s">
        <v>42</v>
      </c>
      <c r="B7" s="13"/>
      <c r="C7" s="18">
        <f>+'Assum-IL'!$C$19*'Operation &amp; WC-IL'!C5/100000</f>
        <v>20</v>
      </c>
      <c r="D7" s="18">
        <f>+'Assum-IL'!$C$19*'Operation &amp; WC-IL'!D5/100000</f>
        <v>36</v>
      </c>
      <c r="E7" s="18">
        <f>+'Assum-IL'!$C$19*'Operation &amp; WC-IL'!E5/100000</f>
        <v>42</v>
      </c>
      <c r="F7" s="18">
        <f>+'Assum-IL'!$C$19*'Operation &amp; WC-IL'!F5/100000</f>
        <v>42</v>
      </c>
      <c r="G7" s="18">
        <f>+'Assum-IL'!$C$19*'Operation &amp; WC-IL'!G5/100000</f>
        <v>42</v>
      </c>
      <c r="H7" s="18">
        <f>+'Assum-IL'!$C$19*'Operation &amp; WC-IL'!H5/100000</f>
        <v>42</v>
      </c>
      <c r="I7" s="18">
        <f>+'Assum-IL'!$C$19*'Operation &amp; WC-IL'!I5/100000</f>
        <v>42</v>
      </c>
      <c r="J7" s="18">
        <f>+'Assum-IL'!$C$19*'Operation &amp; WC-IL'!J5/100000</f>
        <v>42</v>
      </c>
      <c r="K7" s="18">
        <f>+'Assum-IL'!$C$19*'Operation &amp; WC-IL'!K5/100000</f>
        <v>42</v>
      </c>
      <c r="L7" s="18">
        <f>+'Assum-IL'!$C$19*'Operation &amp; WC-IL'!L5/100000</f>
        <v>42</v>
      </c>
      <c r="M7" s="18">
        <f>+'Assum-IL'!$C$19*'Operation &amp; WC-IL'!M5/100000</f>
        <v>42</v>
      </c>
      <c r="N7" s="18">
        <f>+'Assum-IL'!$C$19*'Operation &amp; WC-IL'!N5/100000</f>
        <v>42</v>
      </c>
      <c r="O7" s="18">
        <f>+'Assum-IL'!$C$19*'Operation &amp; WC-IL'!O5/100000</f>
        <v>42</v>
      </c>
      <c r="P7" s="18">
        <f>+'Assum-IL'!$C$19*'Operation &amp; WC-IL'!P5/100000</f>
        <v>42</v>
      </c>
      <c r="Q7" s="18">
        <f>+'Assum-IL'!$C$19*'Operation &amp; WC-IL'!Q5/100000</f>
        <v>42</v>
      </c>
      <c r="R7" s="18">
        <f>+'Assum-IL'!$C$19*'Operation &amp; WC-IL'!R5/100000</f>
        <v>42</v>
      </c>
      <c r="S7" s="18">
        <f>+'Assum-IL'!$C$19*'Operation &amp; WC-IL'!S5/100000</f>
        <v>42</v>
      </c>
      <c r="T7" s="18">
        <f>+'Assum-IL'!$C$19*'Operation &amp; WC-IL'!T5/100000</f>
        <v>42</v>
      </c>
      <c r="U7" s="18">
        <f>+'Assum-IL'!$C$19*'Operation &amp; WC-IL'!U5/100000</f>
        <v>42</v>
      </c>
      <c r="V7" s="18">
        <f>+'Assum-IL'!$C$19*'Operation &amp; WC-IL'!V5/100000</f>
        <v>42</v>
      </c>
      <c r="W7" s="18">
        <f>+'Assum-IL'!$C$19*'Operation &amp; WC-IL'!W5/100000</f>
        <v>14</v>
      </c>
    </row>
    <row r="8" spans="1:24" s="79" customFormat="1" ht="13.5" customHeight="1">
      <c r="A8" s="78" t="s">
        <v>43</v>
      </c>
      <c r="B8" s="78"/>
      <c r="C8" s="190">
        <f>+'Assum-IL'!$C$20*'Operation &amp; WC-IL'!C5/100000</f>
        <v>30</v>
      </c>
      <c r="D8" s="190">
        <f>'Assum-IL'!C20*'Operation &amp; WC-IL'!D5/100000</f>
        <v>54</v>
      </c>
      <c r="E8" s="190">
        <f t="shared" ref="E8:V8" si="0">D8*(1+5%)</f>
        <v>56.7</v>
      </c>
      <c r="F8" s="190">
        <f t="shared" si="0"/>
        <v>59.535000000000004</v>
      </c>
      <c r="G8" s="190">
        <f t="shared" si="0"/>
        <v>62.511750000000006</v>
      </c>
      <c r="H8" s="190">
        <f t="shared" si="0"/>
        <v>65.637337500000015</v>
      </c>
      <c r="I8" s="190">
        <f t="shared" si="0"/>
        <v>68.919204375000021</v>
      </c>
      <c r="J8" s="190">
        <f t="shared" si="0"/>
        <v>72.365164593750023</v>
      </c>
      <c r="K8" s="190">
        <f t="shared" si="0"/>
        <v>75.983422823437522</v>
      </c>
      <c r="L8" s="190">
        <f t="shared" si="0"/>
        <v>79.782593964609404</v>
      </c>
      <c r="M8" s="190">
        <f t="shared" si="0"/>
        <v>83.771723662839875</v>
      </c>
      <c r="N8" s="190">
        <f t="shared" si="0"/>
        <v>87.960309845981868</v>
      </c>
      <c r="O8" s="190">
        <f t="shared" si="0"/>
        <v>92.358325338280963</v>
      </c>
      <c r="P8" s="190">
        <f t="shared" si="0"/>
        <v>96.976241605195014</v>
      </c>
      <c r="Q8" s="190">
        <f t="shared" si="0"/>
        <v>101.82505368545478</v>
      </c>
      <c r="R8" s="190">
        <f t="shared" si="0"/>
        <v>106.91630636972752</v>
      </c>
      <c r="S8" s="190">
        <f t="shared" si="0"/>
        <v>112.26212168821391</v>
      </c>
      <c r="T8" s="190">
        <f t="shared" si="0"/>
        <v>117.87522777262461</v>
      </c>
      <c r="U8" s="190">
        <f t="shared" si="0"/>
        <v>123.76898916125585</v>
      </c>
      <c r="V8" s="190">
        <f t="shared" si="0"/>
        <v>129.95743861931865</v>
      </c>
      <c r="W8" s="190">
        <f>V8*(1+5%)*4/12</f>
        <v>45.485103516761534</v>
      </c>
      <c r="X8" s="191"/>
    </row>
    <row r="9" spans="1:24" ht="13.5" customHeight="1">
      <c r="A9" s="11" t="s">
        <v>44</v>
      </c>
      <c r="B9" s="11"/>
      <c r="C9" s="2">
        <f>+'Assum-IL'!$C$21*'Operation &amp; WC-IL'!C5/100000</f>
        <v>60</v>
      </c>
      <c r="D9" s="2">
        <f>+'Assum-IL'!$C$21*'Operation &amp; WC-IL'!D5/100000</f>
        <v>108</v>
      </c>
      <c r="E9" s="2">
        <f>+'Assum-IL'!$C$21*'Operation &amp; WC-IL'!E5/100000</f>
        <v>126</v>
      </c>
      <c r="F9" s="2">
        <f>+'Assum-IL'!$C$21*'Operation &amp; WC-IL'!F5/100000</f>
        <v>126</v>
      </c>
      <c r="G9" s="2">
        <f>+'Assum-IL'!$C$21*'Operation &amp; WC-IL'!G5/100000</f>
        <v>126</v>
      </c>
      <c r="H9" s="2">
        <f>+'Assum-IL'!$C$21*'Operation &amp; WC-IL'!H5/100000</f>
        <v>126</v>
      </c>
      <c r="I9" s="2">
        <f>+'Assum-IL'!$C$21*'Operation &amp; WC-IL'!I5/100000</f>
        <v>126</v>
      </c>
      <c r="J9" s="2">
        <f>+'Assum-IL'!$C$21*'Operation &amp; WC-IL'!J5/100000</f>
        <v>126</v>
      </c>
      <c r="K9" s="2">
        <f>+'Assum-IL'!$C$21*'Operation &amp; WC-IL'!K5/100000</f>
        <v>126</v>
      </c>
      <c r="L9" s="2">
        <f>+'Assum-IL'!$C$21*'Operation &amp; WC-IL'!L5/100000</f>
        <v>126</v>
      </c>
      <c r="M9" s="2">
        <f>+'Assum-IL'!$C$21*'Operation &amp; WC-IL'!M5/100000</f>
        <v>126</v>
      </c>
      <c r="N9" s="2">
        <f>+'Assum-IL'!$C$21*'Operation &amp; WC-IL'!N5/100000</f>
        <v>126</v>
      </c>
      <c r="O9" s="2">
        <f>+'Assum-IL'!$C$21*'Operation &amp; WC-IL'!O5/100000</f>
        <v>126</v>
      </c>
      <c r="P9" s="2">
        <f>+'Assum-IL'!$C$21*'Operation &amp; WC-IL'!P5/100000</f>
        <v>126</v>
      </c>
      <c r="Q9" s="2">
        <f>+'Assum-IL'!$C$21*'Operation &amp; WC-IL'!Q5/100000</f>
        <v>126</v>
      </c>
      <c r="R9" s="2">
        <f>+'Assum-IL'!$C$21*'Operation &amp; WC-IL'!R5/100000</f>
        <v>126</v>
      </c>
      <c r="S9" s="2">
        <f>+'Assum-IL'!$C$21*'Operation &amp; WC-IL'!S5/100000</f>
        <v>126</v>
      </c>
      <c r="T9" s="2">
        <f>+'Assum-IL'!$C$21*'Operation &amp; WC-IL'!T5/100000</f>
        <v>126</v>
      </c>
      <c r="U9" s="2">
        <f>+'Assum-IL'!$C$21*'Operation &amp; WC-IL'!U5/100000</f>
        <v>126</v>
      </c>
      <c r="V9" s="2">
        <f>+'Assum-IL'!$C$21*'Operation &amp; WC-IL'!V5/100000</f>
        <v>126</v>
      </c>
      <c r="W9" s="2">
        <f>+'Assum-IL'!$C$21*'Operation &amp; WC-IL'!W5/100000</f>
        <v>42</v>
      </c>
    </row>
    <row r="10" spans="1:24" s="79" customFormat="1" ht="13.5" customHeight="1">
      <c r="A10" s="78" t="s">
        <v>45</v>
      </c>
      <c r="B10" s="78"/>
      <c r="C10" s="192">
        <f>+'Assum-IL'!C22</f>
        <v>10</v>
      </c>
      <c r="D10" s="192">
        <f>C10*(1+20%)</f>
        <v>12</v>
      </c>
      <c r="E10" s="192">
        <f t="shared" ref="E10:V10" si="1">D10*(1+20%)</f>
        <v>14.399999999999999</v>
      </c>
      <c r="F10" s="192">
        <f t="shared" si="1"/>
        <v>17.279999999999998</v>
      </c>
      <c r="G10" s="192">
        <f t="shared" si="1"/>
        <v>20.735999999999997</v>
      </c>
      <c r="H10" s="192">
        <f t="shared" si="1"/>
        <v>24.883199999999995</v>
      </c>
      <c r="I10" s="192">
        <f t="shared" si="1"/>
        <v>29.859839999999991</v>
      </c>
      <c r="J10" s="192">
        <f t="shared" si="1"/>
        <v>35.831807999999988</v>
      </c>
      <c r="K10" s="192">
        <f t="shared" si="1"/>
        <v>42.998169599999983</v>
      </c>
      <c r="L10" s="192">
        <f t="shared" si="1"/>
        <v>51.597803519999978</v>
      </c>
      <c r="M10" s="192">
        <f t="shared" si="1"/>
        <v>61.917364223999968</v>
      </c>
      <c r="N10" s="192">
        <f t="shared" si="1"/>
        <v>74.300837068799964</v>
      </c>
      <c r="O10" s="192">
        <f t="shared" si="1"/>
        <v>89.16100448255996</v>
      </c>
      <c r="P10" s="192">
        <f t="shared" si="1"/>
        <v>106.99320537907195</v>
      </c>
      <c r="Q10" s="192">
        <f t="shared" si="1"/>
        <v>128.39184645488635</v>
      </c>
      <c r="R10" s="192">
        <f t="shared" si="1"/>
        <v>154.07021574586361</v>
      </c>
      <c r="S10" s="192">
        <f t="shared" si="1"/>
        <v>184.88425889503631</v>
      </c>
      <c r="T10" s="192">
        <f t="shared" si="1"/>
        <v>221.86111067404357</v>
      </c>
      <c r="U10" s="192">
        <f t="shared" si="1"/>
        <v>266.23333280885225</v>
      </c>
      <c r="V10" s="192">
        <f t="shared" si="1"/>
        <v>319.47999937062269</v>
      </c>
      <c r="W10" s="192">
        <f>V10*(1+20%)*4/12</f>
        <v>127.79199974824907</v>
      </c>
      <c r="X10" s="191"/>
    </row>
    <row r="11" spans="1:24" ht="13.5" customHeight="1">
      <c r="A11" s="11" t="s">
        <v>46</v>
      </c>
      <c r="B11" s="11"/>
      <c r="C11" s="14">
        <f>+'Assum-IL'!$C$23*'Operation &amp; WC-IL'!C5/100000</f>
        <v>30</v>
      </c>
      <c r="D11" s="14">
        <f>+'Assum-IL'!$C$23*'Operation &amp; WC-IL'!D5/100000</f>
        <v>54</v>
      </c>
      <c r="E11" s="14">
        <f>+'Assum-IL'!$C$23*'Operation &amp; WC-IL'!E5/100000</f>
        <v>63</v>
      </c>
      <c r="F11" s="14">
        <f>+'Assum-IL'!$C$23*'Operation &amp; WC-IL'!F5/100000</f>
        <v>63</v>
      </c>
      <c r="G11" s="14">
        <f>+'Assum-IL'!$C$23*'Operation &amp; WC-IL'!G5/100000</f>
        <v>63</v>
      </c>
      <c r="H11" s="14">
        <f>+'Assum-IL'!$C$23*'Operation &amp; WC-IL'!H5/100000</f>
        <v>63</v>
      </c>
      <c r="I11" s="14">
        <f>+'Assum-IL'!$C$23*'Operation &amp; WC-IL'!I5/100000</f>
        <v>63</v>
      </c>
      <c r="J11" s="14">
        <f>+'Assum-IL'!$C$23*'Operation &amp; WC-IL'!J5/100000</f>
        <v>63</v>
      </c>
      <c r="K11" s="14">
        <f>+'Assum-IL'!$C$23*'Operation &amp; WC-IL'!K5/100000</f>
        <v>63</v>
      </c>
      <c r="L11" s="14">
        <f>+'Assum-IL'!$C$23*'Operation &amp; WC-IL'!L5/100000</f>
        <v>63</v>
      </c>
      <c r="M11" s="14">
        <f>+'Assum-IL'!$C$23*'Operation &amp; WC-IL'!M5/100000</f>
        <v>63</v>
      </c>
      <c r="N11" s="14">
        <f>+'Assum-IL'!$C$23*'Operation &amp; WC-IL'!N5/100000</f>
        <v>63</v>
      </c>
      <c r="O11" s="14">
        <f>+'Assum-IL'!$C$23*'Operation &amp; WC-IL'!O5/100000</f>
        <v>63</v>
      </c>
      <c r="P11" s="14">
        <f>+'Assum-IL'!$C$23*'Operation &amp; WC-IL'!P5/100000</f>
        <v>63</v>
      </c>
      <c r="Q11" s="14">
        <f>+'Assum-IL'!$C$23*'Operation &amp; WC-IL'!Q5/100000</f>
        <v>63</v>
      </c>
      <c r="R11" s="14">
        <f>+'Assum-IL'!$C$23*'Operation &amp; WC-IL'!R5/100000</f>
        <v>63</v>
      </c>
      <c r="S11" s="14">
        <f>+'Assum-IL'!$C$23*'Operation &amp; WC-IL'!S5/100000</f>
        <v>63</v>
      </c>
      <c r="T11" s="14">
        <f>+'Assum-IL'!$C$23*'Operation &amp; WC-IL'!T5/100000</f>
        <v>63</v>
      </c>
      <c r="U11" s="14">
        <f>+'Assum-IL'!$C$23*'Operation &amp; WC-IL'!U5/100000</f>
        <v>63</v>
      </c>
      <c r="V11" s="14">
        <f>+'Assum-IL'!$C$23*'Operation &amp; WC-IL'!V5/100000</f>
        <v>63</v>
      </c>
      <c r="W11" s="14">
        <f>+'Assum-IL'!$C$23*'Operation &amp; WC-IL'!W5/100000</f>
        <v>21</v>
      </c>
    </row>
    <row r="12" spans="1:24" s="8" customFormat="1" ht="15">
      <c r="A12" s="1" t="s">
        <v>32</v>
      </c>
      <c r="B12" s="1"/>
      <c r="C12" s="1">
        <f t="shared" ref="C12:V12" si="2">+SUM(C6:C11)</f>
        <v>310</v>
      </c>
      <c r="D12" s="1">
        <f t="shared" si="2"/>
        <v>552</v>
      </c>
      <c r="E12" s="1">
        <f t="shared" si="2"/>
        <v>638.1</v>
      </c>
      <c r="F12" s="1">
        <f t="shared" si="2"/>
        <v>643.81500000000005</v>
      </c>
      <c r="G12" s="1">
        <f t="shared" si="2"/>
        <v>650.24775</v>
      </c>
      <c r="H12" s="1">
        <f t="shared" si="2"/>
        <v>657.52053750000005</v>
      </c>
      <c r="I12" s="1">
        <f t="shared" si="2"/>
        <v>665.77904437500001</v>
      </c>
      <c r="J12" s="1">
        <f t="shared" si="2"/>
        <v>675.19697259375005</v>
      </c>
      <c r="K12" s="1">
        <f t="shared" si="2"/>
        <v>685.98159242343752</v>
      </c>
      <c r="L12" s="1">
        <f t="shared" si="2"/>
        <v>698.38039748460938</v>
      </c>
      <c r="M12" s="1">
        <f t="shared" si="2"/>
        <v>712.68908788683973</v>
      </c>
      <c r="N12" s="1">
        <f t="shared" si="2"/>
        <v>729.26114691478188</v>
      </c>
      <c r="O12" s="1">
        <f t="shared" si="2"/>
        <v>748.51932982084099</v>
      </c>
      <c r="P12" s="1">
        <f t="shared" si="2"/>
        <v>770.96944698426694</v>
      </c>
      <c r="Q12" s="1">
        <f t="shared" si="2"/>
        <v>797.21690014034118</v>
      </c>
      <c r="R12" s="1">
        <f t="shared" si="2"/>
        <v>827.98652211559113</v>
      </c>
      <c r="S12" s="1">
        <f t="shared" si="2"/>
        <v>864.14638058325022</v>
      </c>
      <c r="T12" s="1">
        <f t="shared" si="2"/>
        <v>906.73633844666824</v>
      </c>
      <c r="U12" s="1">
        <f t="shared" si="2"/>
        <v>957.00232197010814</v>
      </c>
      <c r="V12" s="1">
        <f t="shared" si="2"/>
        <v>1016.4374379899414</v>
      </c>
      <c r="W12" s="1">
        <f>+SUM(W6:W11)</f>
        <v>362.27710326501062</v>
      </c>
      <c r="X12" s="5"/>
    </row>
    <row r="15" spans="1:24" ht="15">
      <c r="A15" s="77" t="s">
        <v>221</v>
      </c>
      <c r="B15" s="2"/>
      <c r="C15" s="2"/>
      <c r="D15" s="2"/>
      <c r="E15" s="2"/>
      <c r="F15" s="2"/>
      <c r="G15" s="6"/>
      <c r="H15" s="6"/>
      <c r="I15" s="6"/>
      <c r="J15" s="6"/>
      <c r="K15" s="6"/>
      <c r="L15" s="6"/>
      <c r="M15" s="6"/>
      <c r="N15" s="6"/>
      <c r="O15" s="6"/>
      <c r="P15" s="6"/>
      <c r="Q15" s="6"/>
    </row>
    <row r="16" spans="1:24">
      <c r="A16" s="2"/>
      <c r="B16" s="2"/>
      <c r="C16" s="2"/>
      <c r="D16" s="2"/>
      <c r="E16" s="2"/>
      <c r="F16" s="16" t="s">
        <v>208</v>
      </c>
      <c r="G16" s="6"/>
      <c r="H16" s="6"/>
      <c r="I16" s="6"/>
      <c r="J16" s="6"/>
      <c r="K16" s="6"/>
      <c r="L16" s="6"/>
      <c r="M16" s="6"/>
      <c r="N16" s="6"/>
      <c r="O16" s="6"/>
      <c r="P16" s="6"/>
      <c r="Q16" s="6"/>
      <c r="X16" s="6"/>
    </row>
    <row r="17" spans="1:24" ht="15">
      <c r="A17" s="2" t="s">
        <v>224</v>
      </c>
      <c r="B17" s="2" t="s">
        <v>209</v>
      </c>
      <c r="C17" s="77">
        <f>C3</f>
        <v>0</v>
      </c>
      <c r="D17" s="2">
        <f t="shared" ref="D17:W17" si="3">D3</f>
        <v>0</v>
      </c>
      <c r="E17" s="2">
        <f t="shared" si="3"/>
        <v>0</v>
      </c>
      <c r="F17" s="2">
        <f t="shared" si="3"/>
        <v>0</v>
      </c>
      <c r="G17" s="2">
        <f t="shared" si="3"/>
        <v>0</v>
      </c>
      <c r="H17" s="2">
        <f t="shared" si="3"/>
        <v>0</v>
      </c>
      <c r="I17" s="2">
        <f t="shared" si="3"/>
        <v>0</v>
      </c>
      <c r="J17" s="2">
        <f t="shared" si="3"/>
        <v>0</v>
      </c>
      <c r="K17" s="2">
        <f t="shared" si="3"/>
        <v>0</v>
      </c>
      <c r="L17" s="2">
        <f t="shared" si="3"/>
        <v>0</v>
      </c>
      <c r="M17" s="2">
        <f t="shared" si="3"/>
        <v>0</v>
      </c>
      <c r="N17" s="2">
        <f t="shared" si="3"/>
        <v>0</v>
      </c>
      <c r="O17" s="2">
        <f t="shared" si="3"/>
        <v>0</v>
      </c>
      <c r="P17" s="2">
        <f t="shared" si="3"/>
        <v>0</v>
      </c>
      <c r="Q17" s="2">
        <f t="shared" si="3"/>
        <v>0</v>
      </c>
      <c r="R17" s="2">
        <f t="shared" si="3"/>
        <v>0</v>
      </c>
      <c r="S17" s="2">
        <f t="shared" si="3"/>
        <v>0</v>
      </c>
      <c r="T17" s="2">
        <f t="shared" si="3"/>
        <v>0</v>
      </c>
      <c r="U17" s="2">
        <f t="shared" si="3"/>
        <v>0</v>
      </c>
      <c r="V17" s="2">
        <f t="shared" si="3"/>
        <v>0</v>
      </c>
      <c r="W17" s="2">
        <f t="shared" si="3"/>
        <v>0</v>
      </c>
      <c r="X17" s="6"/>
    </row>
    <row r="18" spans="1:24">
      <c r="A18" s="2"/>
      <c r="B18" s="2"/>
      <c r="C18" s="2"/>
      <c r="D18" s="2"/>
      <c r="E18" s="2"/>
      <c r="F18" s="2"/>
      <c r="G18" s="2"/>
      <c r="H18" s="2"/>
      <c r="I18" s="2"/>
      <c r="J18" s="2"/>
      <c r="K18" s="2"/>
      <c r="L18" s="2"/>
      <c r="M18" s="2"/>
      <c r="N18" s="2"/>
      <c r="O18" s="2"/>
      <c r="P18" s="2"/>
      <c r="Q18" s="2"/>
      <c r="X18" s="6"/>
    </row>
    <row r="19" spans="1:24">
      <c r="A19" s="2" t="s">
        <v>225</v>
      </c>
      <c r="B19" s="2" t="s">
        <v>210</v>
      </c>
      <c r="C19" s="2">
        <f>(C6+C7)*(1.5/8)</f>
        <v>33.75</v>
      </c>
      <c r="D19" s="2">
        <f t="shared" ref="D19:W19" si="4">(D6+D7)*(1.5/8)</f>
        <v>60.75</v>
      </c>
      <c r="E19" s="2">
        <f t="shared" si="4"/>
        <v>70.875</v>
      </c>
      <c r="F19" s="2">
        <f t="shared" si="4"/>
        <v>70.875</v>
      </c>
      <c r="G19" s="2">
        <f t="shared" si="4"/>
        <v>70.875</v>
      </c>
      <c r="H19" s="2">
        <f t="shared" si="4"/>
        <v>70.875</v>
      </c>
      <c r="I19" s="2">
        <f t="shared" si="4"/>
        <v>70.875</v>
      </c>
      <c r="J19" s="2">
        <f t="shared" si="4"/>
        <v>70.875</v>
      </c>
      <c r="K19" s="2">
        <f t="shared" si="4"/>
        <v>70.875</v>
      </c>
      <c r="L19" s="2">
        <f t="shared" si="4"/>
        <v>70.875</v>
      </c>
      <c r="M19" s="2">
        <f t="shared" si="4"/>
        <v>70.875</v>
      </c>
      <c r="N19" s="2">
        <f t="shared" si="4"/>
        <v>70.875</v>
      </c>
      <c r="O19" s="2">
        <f t="shared" si="4"/>
        <v>70.875</v>
      </c>
      <c r="P19" s="2">
        <f t="shared" si="4"/>
        <v>70.875</v>
      </c>
      <c r="Q19" s="2">
        <f t="shared" si="4"/>
        <v>70.875</v>
      </c>
      <c r="R19" s="2">
        <f t="shared" si="4"/>
        <v>70.875</v>
      </c>
      <c r="S19" s="2">
        <f t="shared" si="4"/>
        <v>70.875</v>
      </c>
      <c r="T19" s="2">
        <f t="shared" si="4"/>
        <v>70.875</v>
      </c>
      <c r="U19" s="2">
        <f t="shared" si="4"/>
        <v>70.875</v>
      </c>
      <c r="V19" s="2">
        <f t="shared" si="4"/>
        <v>70.875</v>
      </c>
      <c r="W19" s="2">
        <f t="shared" si="4"/>
        <v>23.625</v>
      </c>
      <c r="X19" s="6"/>
    </row>
    <row r="20" spans="1:24">
      <c r="A20" s="2" t="s">
        <v>226</v>
      </c>
      <c r="B20" s="2" t="s">
        <v>211</v>
      </c>
      <c r="C20" s="2">
        <f>(C12+'Depreciation-IL'!D39)*(2/35)</f>
        <v>18.708266666666667</v>
      </c>
      <c r="D20" s="2">
        <f>(D12+'Depreciation-IL'!E39)*(2/35)</f>
        <v>33.033828571428572</v>
      </c>
      <c r="E20" s="2">
        <f>(E12+'Depreciation-IL'!F39)*(2/35)</f>
        <v>37.953828571428573</v>
      </c>
      <c r="F20" s="2">
        <f>(F12+'Depreciation-IL'!G39)*(2/35)</f>
        <v>38.2804</v>
      </c>
      <c r="G20" s="2">
        <f>(G12+'Depreciation-IL'!H39)*(2/35)</f>
        <v>38.64798571428571</v>
      </c>
      <c r="H20" s="2">
        <f>(H12+'Depreciation-IL'!I39)*(2/35)</f>
        <v>39.06357357142857</v>
      </c>
      <c r="I20" s="2">
        <f>(I12+'Depreciation-IL'!J39)*(2/35)</f>
        <v>39.53548825</v>
      </c>
      <c r="J20" s="2">
        <f>(J12+'Depreciation-IL'!K39)*(2/35)</f>
        <v>40.073655576785718</v>
      </c>
      <c r="K20" s="2">
        <f>(K12+'Depreciation-IL'!L39)*(2/35)</f>
        <v>40.689919567053572</v>
      </c>
      <c r="L20" s="2">
        <f>(L12+'Depreciation-IL'!M39)*(2/35)</f>
        <v>41.398422713406248</v>
      </c>
      <c r="M20" s="2">
        <f>(M12+'Depreciation-IL'!N39)*(2/35)</f>
        <v>42.216062164962267</v>
      </c>
      <c r="N20" s="2">
        <f>(N12+'Depreciation-IL'!O39)*(2/35)</f>
        <v>43.163036966558963</v>
      </c>
      <c r="O20" s="2">
        <f>(O12+'Depreciation-IL'!P39)*(2/35)</f>
        <v>44.263504561190913</v>
      </c>
      <c r="P20" s="2">
        <f>(P12+'Depreciation-IL'!Q39)*(2/35)</f>
        <v>45.546368399100963</v>
      </c>
      <c r="Q20" s="2">
        <f>(Q12+'Depreciation-IL'!R39)*(2/35)</f>
        <v>47.046222865162349</v>
      </c>
      <c r="R20" s="2">
        <f>(R12+'Depreciation-IL'!S39)*(2/35)</f>
        <v>48.804486978033779</v>
      </c>
      <c r="S20" s="2">
        <f>(S12+'Depreciation-IL'!T39)*(2/35)</f>
        <v>50.870764604757156</v>
      </c>
      <c r="T20" s="2">
        <f>(T12+'Depreciation-IL'!U39)*(2/35)</f>
        <v>53.304476482666757</v>
      </c>
      <c r="U20" s="2">
        <f>(U12+'Depreciation-IL'!V39)*(2/35)</f>
        <v>56.176818398291893</v>
      </c>
      <c r="V20" s="2">
        <f>(V12+'Depreciation-IL'!W39)*(2/35)</f>
        <v>58.794139313710922</v>
      </c>
      <c r="W20" s="2">
        <f>(W12+'Depreciation-IL'!X39)*(2/35)</f>
        <v>20.841510662762513</v>
      </c>
      <c r="X20" s="6"/>
    </row>
    <row r="21" spans="1:24">
      <c r="A21" s="2" t="s">
        <v>227</v>
      </c>
      <c r="B21" s="2" t="s">
        <v>211</v>
      </c>
      <c r="C21" s="2">
        <f>(C12+'Depreciation-IL'!D39+'P&amp;L-IL'!D18)*(2/35)</f>
        <v>19.27969523809524</v>
      </c>
      <c r="D21" s="2">
        <f>(D12+'Depreciation-IL'!E39+'P&amp;L-IL'!E18)*(2/35)</f>
        <v>34.062399999999997</v>
      </c>
      <c r="E21" s="2">
        <f>(E12+'Depreciation-IL'!F39+'P&amp;L-IL'!F18)*(2/35)</f>
        <v>39.153828571428569</v>
      </c>
      <c r="F21" s="2">
        <f>(F12+'Depreciation-IL'!G39+'P&amp;L-IL'!G18)*(2/35)</f>
        <v>39.480400000000003</v>
      </c>
      <c r="G21" s="2">
        <f>(G12+'Depreciation-IL'!H39+'P&amp;L-IL'!H18)*(2/35)</f>
        <v>39.847985714285713</v>
      </c>
      <c r="H21" s="2">
        <f>(H12+'Depreciation-IL'!I39+'P&amp;L-IL'!I18)*(2/35)</f>
        <v>40.263573571428573</v>
      </c>
      <c r="I21" s="2">
        <f>(I12+'Depreciation-IL'!J39+'P&amp;L-IL'!J18)*(2/35)</f>
        <v>40.735488249999996</v>
      </c>
      <c r="J21" s="2">
        <f>(J12+'Depreciation-IL'!K39+'P&amp;L-IL'!K18)*(2/35)</f>
        <v>41.273655576785714</v>
      </c>
      <c r="K21" s="2">
        <f>(K12+'Depreciation-IL'!L39+'P&amp;L-IL'!L18)*(2/35)</f>
        <v>41.889919567053568</v>
      </c>
      <c r="L21" s="2">
        <f>(L12+'Depreciation-IL'!M39+'P&amp;L-IL'!M18)*(2/35)</f>
        <v>42.598422713406251</v>
      </c>
      <c r="M21" s="2">
        <f>(M12+'Depreciation-IL'!N39+'P&amp;L-IL'!N18)*(2/35)</f>
        <v>43.41606216496227</v>
      </c>
      <c r="N21" s="2">
        <f>(N12+'Depreciation-IL'!O39+'P&amp;L-IL'!O18)*(2/35)</f>
        <v>44.363036966558965</v>
      </c>
      <c r="O21" s="2">
        <f>(O12+'Depreciation-IL'!P39+'P&amp;L-IL'!P18)*(2/35)</f>
        <v>45.463504561190909</v>
      </c>
      <c r="P21" s="2">
        <f>(P12+'Depreciation-IL'!Q39+'P&amp;L-IL'!Q18)*(2/35)</f>
        <v>46.746368399100966</v>
      </c>
      <c r="Q21" s="2">
        <f>(Q12+'Depreciation-IL'!R39+'P&amp;L-IL'!R18)*(2/35)</f>
        <v>48.246222865162352</v>
      </c>
      <c r="R21" s="2">
        <f>(R12+'Depreciation-IL'!S39+'P&amp;L-IL'!S18)*(2/35)</f>
        <v>50.004486978033775</v>
      </c>
      <c r="S21" s="2">
        <f>(S12+'Depreciation-IL'!T39+'P&amp;L-IL'!T18)*(2/35)</f>
        <v>52.070764604757152</v>
      </c>
      <c r="T21" s="2">
        <f>(T12+'Depreciation-IL'!U39+'P&amp;L-IL'!U18)*(2/35)</f>
        <v>54.504476482666753</v>
      </c>
      <c r="U21" s="2">
        <f>(U12+'Depreciation-IL'!V39+'P&amp;L-IL'!V18)*(2/35)</f>
        <v>57.376818398291888</v>
      </c>
      <c r="V21" s="2">
        <f>(V12+'Depreciation-IL'!W39+'P&amp;L-IL'!W18)*(2/35)</f>
        <v>59.994139313710924</v>
      </c>
      <c r="W21" s="2">
        <f>(W12+'Depreciation-IL'!X39+'P&amp;L-IL'!X18)*(2/35)</f>
        <v>21.241510662762511</v>
      </c>
      <c r="X21" s="6"/>
    </row>
    <row r="22" spans="1:24">
      <c r="A22" s="2" t="s">
        <v>228</v>
      </c>
      <c r="B22" s="2" t="s">
        <v>233</v>
      </c>
      <c r="C22" s="2">
        <f>'P&amp;L-IL'!D33*(1/8)</f>
        <v>91.125</v>
      </c>
      <c r="D22" s="2">
        <f>'P&amp;L-IL'!E33*(1/8)</f>
        <v>164.02500000000001</v>
      </c>
      <c r="E22" s="2">
        <f>'P&amp;L-IL'!F33*(1/8)</f>
        <v>191.36249999999998</v>
      </c>
      <c r="F22" s="2">
        <f>'P&amp;L-IL'!G33*(1/8)</f>
        <v>191.36249999999998</v>
      </c>
      <c r="G22" s="2">
        <f>'P&amp;L-IL'!H33*(1/8)</f>
        <v>191.36249999999998</v>
      </c>
      <c r="H22" s="2">
        <f>'P&amp;L-IL'!I33*(1/8)</f>
        <v>191.36249999999998</v>
      </c>
      <c r="I22" s="2">
        <f>'P&amp;L-IL'!J33*(1/8)</f>
        <v>191.36249999999998</v>
      </c>
      <c r="J22" s="2">
        <f>'P&amp;L-IL'!K33*(1/8)</f>
        <v>191.36249999999998</v>
      </c>
      <c r="K22" s="2">
        <f>'P&amp;L-IL'!L33*(1/8)</f>
        <v>191.36249999999998</v>
      </c>
      <c r="L22" s="2">
        <f>'P&amp;L-IL'!M33*(1/8)</f>
        <v>191.36249999999998</v>
      </c>
      <c r="M22" s="2">
        <f>'P&amp;L-IL'!N33*(1/8)</f>
        <v>191.36249999999998</v>
      </c>
      <c r="N22" s="2">
        <f>'P&amp;L-IL'!O33*(1/8)</f>
        <v>191.36249999999998</v>
      </c>
      <c r="O22" s="2">
        <f>'P&amp;L-IL'!P33*(1/8)</f>
        <v>191.36249999999998</v>
      </c>
      <c r="P22" s="2">
        <f>'P&amp;L-IL'!Q33*(1/8)</f>
        <v>191.36249999999998</v>
      </c>
      <c r="Q22" s="2">
        <f>'P&amp;L-IL'!R33*(1/8)</f>
        <v>191.36249999999998</v>
      </c>
      <c r="R22" s="2">
        <f>'P&amp;L-IL'!S33*(1/8)</f>
        <v>191.36249999999998</v>
      </c>
      <c r="S22" s="2">
        <f>'P&amp;L-IL'!T33*(1/8)</f>
        <v>191.36249999999998</v>
      </c>
      <c r="T22" s="2">
        <f>'P&amp;L-IL'!U33*(1/8)</f>
        <v>191.36249999999998</v>
      </c>
      <c r="U22" s="2">
        <f>'P&amp;L-IL'!V33*(1/8)</f>
        <v>191.36249999999998</v>
      </c>
      <c r="V22" s="2">
        <f>'P&amp;L-IL'!W33*(1/8)</f>
        <v>191.36249999999998</v>
      </c>
      <c r="W22" s="2">
        <f>'P&amp;L-IL'!X33*(1/8)</f>
        <v>63.787500000000001</v>
      </c>
      <c r="X22" s="6"/>
    </row>
    <row r="23" spans="1:24">
      <c r="A23" s="2"/>
      <c r="B23" s="2"/>
      <c r="C23" s="2">
        <f>SUM(C19:C22)</f>
        <v>162.8629619047619</v>
      </c>
      <c r="D23" s="2">
        <f>SUM(D19:D22)</f>
        <v>291.87122857142856</v>
      </c>
      <c r="E23" s="2">
        <f t="shared" ref="E23:S23" si="5">SUM(E19:E22)</f>
        <v>339.34515714285715</v>
      </c>
      <c r="F23" s="2">
        <f t="shared" si="5"/>
        <v>339.99829999999997</v>
      </c>
      <c r="G23" s="2">
        <f t="shared" si="5"/>
        <v>340.73347142857142</v>
      </c>
      <c r="H23" s="2">
        <f t="shared" si="5"/>
        <v>341.5646471428571</v>
      </c>
      <c r="I23" s="2">
        <f t="shared" si="5"/>
        <v>342.50847649999997</v>
      </c>
      <c r="J23" s="2">
        <f t="shared" si="5"/>
        <v>343.58481115357142</v>
      </c>
      <c r="K23" s="2">
        <f t="shared" si="5"/>
        <v>344.8173391341071</v>
      </c>
      <c r="L23" s="2">
        <f t="shared" si="5"/>
        <v>346.23434542681252</v>
      </c>
      <c r="M23" s="2">
        <f t="shared" si="5"/>
        <v>347.86962432992448</v>
      </c>
      <c r="N23" s="2">
        <f t="shared" si="5"/>
        <v>349.76357393311787</v>
      </c>
      <c r="O23" s="2">
        <f t="shared" si="5"/>
        <v>351.9645091223818</v>
      </c>
      <c r="P23" s="2">
        <f t="shared" si="5"/>
        <v>354.53023679820194</v>
      </c>
      <c r="Q23" s="2">
        <f t="shared" si="5"/>
        <v>357.5299457303247</v>
      </c>
      <c r="R23" s="2">
        <f t="shared" si="5"/>
        <v>361.04647395606753</v>
      </c>
      <c r="S23" s="2">
        <f t="shared" si="5"/>
        <v>365.17902920951428</v>
      </c>
      <c r="T23" s="2">
        <f>SUM(T19:T22)</f>
        <v>370.04645296533351</v>
      </c>
      <c r="U23" s="2">
        <f>SUM(U19:U22)</f>
        <v>375.79113679658371</v>
      </c>
      <c r="V23" s="2">
        <f>SUM(V19:V22)</f>
        <v>381.0257786274218</v>
      </c>
      <c r="W23" s="2">
        <f>SUM(W19:W22)</f>
        <v>129.49552132552503</v>
      </c>
      <c r="X23" s="6"/>
    </row>
    <row r="24" spans="1:24">
      <c r="A24" s="2"/>
      <c r="B24" s="2"/>
      <c r="C24" s="2"/>
      <c r="D24" s="2"/>
      <c r="E24" s="2"/>
      <c r="F24" s="2"/>
      <c r="G24" s="2"/>
      <c r="H24" s="2"/>
      <c r="I24" s="2"/>
      <c r="J24" s="2"/>
      <c r="K24" s="2"/>
      <c r="L24" s="2"/>
      <c r="M24" s="2"/>
      <c r="N24" s="2"/>
      <c r="O24" s="2"/>
      <c r="P24" s="2"/>
      <c r="Q24" s="2"/>
      <c r="X24" s="6"/>
    </row>
    <row r="25" spans="1:24">
      <c r="A25" s="2" t="s">
        <v>229</v>
      </c>
      <c r="B25" s="2" t="s">
        <v>212</v>
      </c>
      <c r="C25" s="2">
        <f>(C6+C7)*(1-'Assum-IL'!$C$40)*(2/35)</f>
        <v>3.0857142857142859</v>
      </c>
      <c r="D25" s="2">
        <f>(D6+D7)*(1-'Assum-IL'!$C$40)*(2/35)</f>
        <v>5.5542857142857152</v>
      </c>
      <c r="E25" s="2">
        <f>(E6+E7)*(1-'Assum-IL'!$C$40)*(2/35)</f>
        <v>6.4800000000000013</v>
      </c>
      <c r="F25" s="2">
        <f>(F6+F7)*(1-'Assum-IL'!$C$40)*(2/35)</f>
        <v>6.4800000000000013</v>
      </c>
      <c r="G25" s="2">
        <f>(G6+G7)*(1-'Assum-IL'!$C$40)*(2/35)</f>
        <v>6.4800000000000013</v>
      </c>
      <c r="H25" s="2">
        <f>(H6+H7)*(1-'Assum-IL'!$C$40)*(2/35)</f>
        <v>6.4800000000000013</v>
      </c>
      <c r="I25" s="2">
        <f>(I6+I7)*(1-'Assum-IL'!$C$40)*(2/35)</f>
        <v>6.4800000000000013</v>
      </c>
      <c r="J25" s="2">
        <f>(J6+J7)*(1-'Assum-IL'!$C$40)*(2/35)</f>
        <v>6.4800000000000013</v>
      </c>
      <c r="K25" s="2">
        <f>(K6+K7)*(1-'Assum-IL'!$C$40)*(2/35)</f>
        <v>6.4800000000000013</v>
      </c>
      <c r="L25" s="2">
        <f>(L6+L7)*(1-'Assum-IL'!$C$40)*(2/35)</f>
        <v>6.4800000000000013</v>
      </c>
      <c r="M25" s="2">
        <f>(M6+M7)*(1-'Assum-IL'!$C$40)*(2/35)</f>
        <v>6.4800000000000013</v>
      </c>
      <c r="N25" s="2">
        <f>(N6+N7)*(1-'Assum-IL'!$C$40)*(2/35)</f>
        <v>6.4800000000000013</v>
      </c>
      <c r="O25" s="2">
        <f>(O6+O7)*(1-'Assum-IL'!$C$40)*(2/35)</f>
        <v>6.4800000000000013</v>
      </c>
      <c r="P25" s="2">
        <f>(P6+P7)*(1-'Assum-IL'!$C$40)*(2/35)</f>
        <v>6.4800000000000013</v>
      </c>
      <c r="Q25" s="2">
        <f>(Q6+Q7)*(1-'Assum-IL'!$C$40)*(2/35)</f>
        <v>6.4800000000000013</v>
      </c>
      <c r="R25" s="2">
        <f>(R6+R7)*(1-'Assum-IL'!$C$40)*(2/35)</f>
        <v>6.4800000000000013</v>
      </c>
      <c r="S25" s="2">
        <f>(S6+S7)*(1-'Assum-IL'!$C$40)*(2/35)</f>
        <v>6.4800000000000013</v>
      </c>
      <c r="T25" s="2">
        <f>(T6+T7)*(1-'Assum-IL'!$C$40)*(2/35)</f>
        <v>6.4800000000000013</v>
      </c>
      <c r="U25" s="2">
        <f>(U6+U7)*(1-'Assum-IL'!$C$40)*(2/35)</f>
        <v>6.4800000000000013</v>
      </c>
      <c r="V25" s="2">
        <f>(V6+V7)*(1-'Assum-IL'!$C$40)*(2/35)</f>
        <v>6.4800000000000013</v>
      </c>
      <c r="W25" s="2">
        <f>(W6+W7)*(1-'Assum-IL'!$C$40)*(2/35)</f>
        <v>2.16</v>
      </c>
      <c r="X25" s="6"/>
    </row>
    <row r="26" spans="1:24">
      <c r="A26" s="2" t="s">
        <v>230</v>
      </c>
      <c r="B26" s="2"/>
      <c r="C26" s="2">
        <f>'Assum-IL'!C42</f>
        <v>72</v>
      </c>
      <c r="D26" s="2">
        <f>'Assum-IL'!C43</f>
        <v>108</v>
      </c>
      <c r="E26" s="2">
        <f>D26</f>
        <v>108</v>
      </c>
      <c r="F26" s="2">
        <f t="shared" ref="F26:W26" si="6">E26</f>
        <v>108</v>
      </c>
      <c r="G26" s="2">
        <f t="shared" si="6"/>
        <v>108</v>
      </c>
      <c r="H26" s="2">
        <f t="shared" si="6"/>
        <v>108</v>
      </c>
      <c r="I26" s="2">
        <f t="shared" si="6"/>
        <v>108</v>
      </c>
      <c r="J26" s="2">
        <f t="shared" si="6"/>
        <v>108</v>
      </c>
      <c r="K26" s="2">
        <f t="shared" si="6"/>
        <v>108</v>
      </c>
      <c r="L26" s="2">
        <f t="shared" si="6"/>
        <v>108</v>
      </c>
      <c r="M26" s="2">
        <f t="shared" si="6"/>
        <v>108</v>
      </c>
      <c r="N26" s="2">
        <f t="shared" si="6"/>
        <v>108</v>
      </c>
      <c r="O26" s="2">
        <f t="shared" si="6"/>
        <v>108</v>
      </c>
      <c r="P26" s="2">
        <f t="shared" si="6"/>
        <v>108</v>
      </c>
      <c r="Q26" s="2">
        <f t="shared" si="6"/>
        <v>108</v>
      </c>
      <c r="R26" s="2">
        <f t="shared" si="6"/>
        <v>108</v>
      </c>
      <c r="S26" s="2">
        <f t="shared" si="6"/>
        <v>108</v>
      </c>
      <c r="T26" s="2">
        <f t="shared" si="6"/>
        <v>108</v>
      </c>
      <c r="U26" s="2">
        <f t="shared" si="6"/>
        <v>108</v>
      </c>
      <c r="V26" s="2">
        <f t="shared" si="6"/>
        <v>108</v>
      </c>
      <c r="W26" s="2">
        <f t="shared" si="6"/>
        <v>108</v>
      </c>
      <c r="X26" s="6"/>
    </row>
    <row r="27" spans="1:24">
      <c r="A27" s="2" t="s">
        <v>231</v>
      </c>
      <c r="B27" s="2"/>
      <c r="C27" s="2">
        <f t="shared" ref="C27:W27" si="7">C23-C25-C26</f>
        <v>87.777247619047614</v>
      </c>
      <c r="D27" s="2">
        <f t="shared" si="7"/>
        <v>178.31694285714286</v>
      </c>
      <c r="E27" s="2">
        <f t="shared" si="7"/>
        <v>224.86515714285713</v>
      </c>
      <c r="F27" s="2">
        <f t="shared" si="7"/>
        <v>225.51829999999995</v>
      </c>
      <c r="G27" s="2">
        <f t="shared" si="7"/>
        <v>226.2534714285714</v>
      </c>
      <c r="H27" s="2">
        <f t="shared" si="7"/>
        <v>227.08464714285708</v>
      </c>
      <c r="I27" s="2">
        <f t="shared" si="7"/>
        <v>228.02847649999995</v>
      </c>
      <c r="J27" s="2">
        <f t="shared" si="7"/>
        <v>229.1048111535714</v>
      </c>
      <c r="K27" s="2">
        <f t="shared" si="7"/>
        <v>230.33733913410708</v>
      </c>
      <c r="L27" s="2">
        <f t="shared" si="7"/>
        <v>231.75434542681251</v>
      </c>
      <c r="M27" s="2">
        <f t="shared" si="7"/>
        <v>233.38962432992446</v>
      </c>
      <c r="N27" s="2">
        <f t="shared" si="7"/>
        <v>235.28357393311785</v>
      </c>
      <c r="O27" s="2">
        <f t="shared" si="7"/>
        <v>237.48450912238178</v>
      </c>
      <c r="P27" s="2">
        <f t="shared" si="7"/>
        <v>240.05023679820192</v>
      </c>
      <c r="Q27" s="2">
        <f t="shared" si="7"/>
        <v>243.04994573032468</v>
      </c>
      <c r="R27" s="2">
        <f t="shared" si="7"/>
        <v>246.56647395606751</v>
      </c>
      <c r="S27" s="2">
        <f t="shared" si="7"/>
        <v>250.69902920951426</v>
      </c>
      <c r="T27" s="2">
        <f t="shared" si="7"/>
        <v>255.5664529653335</v>
      </c>
      <c r="U27" s="2">
        <f t="shared" si="7"/>
        <v>261.3111367965837</v>
      </c>
      <c r="V27" s="2">
        <f t="shared" si="7"/>
        <v>266.54577862742178</v>
      </c>
      <c r="W27" s="2">
        <f t="shared" si="7"/>
        <v>19.335521325525036</v>
      </c>
      <c r="X27" s="6"/>
    </row>
    <row r="28" spans="1:24">
      <c r="A28" s="2"/>
      <c r="B28" s="2"/>
      <c r="C28" s="2"/>
      <c r="D28" s="2"/>
      <c r="E28" s="2"/>
      <c r="F28" s="2"/>
      <c r="G28" s="2"/>
      <c r="H28" s="2"/>
      <c r="I28" s="2"/>
      <c r="J28" s="2"/>
      <c r="K28" s="2"/>
      <c r="L28" s="2"/>
      <c r="M28" s="2"/>
      <c r="N28" s="2"/>
      <c r="O28" s="2"/>
      <c r="P28" s="2"/>
      <c r="Q28" s="2"/>
      <c r="X28" s="6"/>
    </row>
    <row r="29" spans="1:24" s="15" customFormat="1">
      <c r="A29" s="11" t="s">
        <v>232</v>
      </c>
      <c r="B29" s="11"/>
      <c r="C29" s="11">
        <f>C27*'Assum-IL'!$C$44</f>
        <v>21.944311904761904</v>
      </c>
      <c r="D29" s="11">
        <f>D27*'Assum-IL'!$C$44</f>
        <v>44.579235714285716</v>
      </c>
      <c r="E29" s="11">
        <f>E27*'Assum-IL'!$C$44</f>
        <v>56.216289285714282</v>
      </c>
      <c r="F29" s="11">
        <f>F27*'Assum-IL'!$C$44</f>
        <v>56.379574999999988</v>
      </c>
      <c r="G29" s="11">
        <f>G27*'Assum-IL'!$C$44</f>
        <v>56.56336785714285</v>
      </c>
      <c r="H29" s="11">
        <f>H27*'Assum-IL'!$C$44</f>
        <v>56.77116178571427</v>
      </c>
      <c r="I29" s="11">
        <f>I27*'Assum-IL'!$C$44</f>
        <v>57.007119124999988</v>
      </c>
      <c r="J29" s="11">
        <f>J27*'Assum-IL'!$C$44</f>
        <v>57.276202788392851</v>
      </c>
      <c r="K29" s="11">
        <f>K27*'Assum-IL'!$C$44</f>
        <v>57.584334783526771</v>
      </c>
      <c r="L29" s="11">
        <f>L27*'Assum-IL'!$C$44</f>
        <v>57.938586356703127</v>
      </c>
      <c r="M29" s="11">
        <f>M27*'Assum-IL'!$C$44</f>
        <v>58.347406082481115</v>
      </c>
      <c r="N29" s="11">
        <f>N27*'Assum-IL'!$C$44</f>
        <v>58.820893483279463</v>
      </c>
      <c r="O29" s="11">
        <f>O27*'Assum-IL'!$C$44</f>
        <v>59.371127280595445</v>
      </c>
      <c r="P29" s="11">
        <f>P27*'Assum-IL'!$C$44</f>
        <v>60.012559199550481</v>
      </c>
      <c r="Q29" s="11">
        <f>Q27*'Assum-IL'!$C$44</f>
        <v>60.76248643258117</v>
      </c>
      <c r="R29" s="11">
        <f>R27*'Assum-IL'!$C$44</f>
        <v>61.641618489016878</v>
      </c>
      <c r="S29" s="11">
        <f>S27*'Assum-IL'!$C$44</f>
        <v>62.674757302378566</v>
      </c>
      <c r="T29" s="11">
        <f>T27*'Assum-IL'!$C$44</f>
        <v>63.891613241333374</v>
      </c>
      <c r="U29" s="11">
        <f>U27*'Assum-IL'!$C$44</f>
        <v>65.327784199145924</v>
      </c>
      <c r="V29" s="11">
        <f>V27*'Assum-IL'!$C$44</f>
        <v>66.636444656855446</v>
      </c>
      <c r="W29" s="11">
        <f>W27*'Assum-IL'!$C$44</f>
        <v>4.8338803313812591</v>
      </c>
    </row>
    <row r="30" spans="1:24">
      <c r="A30" s="2" t="s">
        <v>222</v>
      </c>
      <c r="B30" s="2"/>
      <c r="C30" s="2">
        <f>C27-C29</f>
        <v>65.832935714285711</v>
      </c>
      <c r="D30" s="2">
        <f t="shared" ref="D30:W30" si="8">D27-D29</f>
        <v>133.73770714285715</v>
      </c>
      <c r="E30" s="2">
        <f t="shared" si="8"/>
        <v>168.64886785714285</v>
      </c>
      <c r="F30" s="2">
        <f t="shared" si="8"/>
        <v>169.13872499999997</v>
      </c>
      <c r="G30" s="2">
        <f t="shared" si="8"/>
        <v>169.69010357142855</v>
      </c>
      <c r="H30" s="2">
        <f t="shared" si="8"/>
        <v>170.31348535714281</v>
      </c>
      <c r="I30" s="2">
        <f t="shared" si="8"/>
        <v>171.02135737499998</v>
      </c>
      <c r="J30" s="2">
        <f t="shared" si="8"/>
        <v>171.82860836517855</v>
      </c>
      <c r="K30" s="2">
        <f t="shared" si="8"/>
        <v>172.75300435058031</v>
      </c>
      <c r="L30" s="2">
        <f t="shared" si="8"/>
        <v>173.81575907010938</v>
      </c>
      <c r="M30" s="2">
        <f t="shared" si="8"/>
        <v>175.04221824744334</v>
      </c>
      <c r="N30" s="2">
        <f t="shared" si="8"/>
        <v>176.46268044983839</v>
      </c>
      <c r="O30" s="2">
        <f t="shared" si="8"/>
        <v>178.11338184178635</v>
      </c>
      <c r="P30" s="2">
        <f t="shared" si="8"/>
        <v>180.03767759865144</v>
      </c>
      <c r="Q30" s="2">
        <f t="shared" si="8"/>
        <v>182.28745929774351</v>
      </c>
      <c r="R30" s="2">
        <f t="shared" si="8"/>
        <v>184.92485546705063</v>
      </c>
      <c r="S30" s="2">
        <f t="shared" si="8"/>
        <v>188.0242719071357</v>
      </c>
      <c r="T30" s="2">
        <f t="shared" si="8"/>
        <v>191.67483972400012</v>
      </c>
      <c r="U30" s="2">
        <f t="shared" si="8"/>
        <v>195.98335259743777</v>
      </c>
      <c r="V30" s="2">
        <f t="shared" si="8"/>
        <v>199.90933397056634</v>
      </c>
      <c r="W30" s="2">
        <f t="shared" si="8"/>
        <v>14.501640994143777</v>
      </c>
      <c r="X30" s="6"/>
    </row>
    <row r="31" spans="1:24">
      <c r="A31" s="2" t="s">
        <v>223</v>
      </c>
      <c r="B31" s="2"/>
      <c r="C31" s="2">
        <f>C30*'Assum-CFL'!$C$58</f>
        <v>8.5582816428571427</v>
      </c>
      <c r="D31" s="2">
        <f>D30*'Assum-CFL'!$C$58</f>
        <v>17.385901928571428</v>
      </c>
      <c r="E31" s="2">
        <f>E30*'Assum-CFL'!$C$58</f>
        <v>21.92435282142857</v>
      </c>
      <c r="F31" s="2">
        <f>F30*'Assum-CFL'!$C$58</f>
        <v>21.988034249999995</v>
      </c>
      <c r="G31" s="2">
        <f>G30*'Assum-CFL'!$C$58</f>
        <v>22.059713464285711</v>
      </c>
      <c r="H31" s="2">
        <f>H30*'Assum-CFL'!$C$58</f>
        <v>22.140753096428565</v>
      </c>
      <c r="I31" s="2">
        <f>I30*'Assum-CFL'!$C$58</f>
        <v>22.232776458749999</v>
      </c>
      <c r="J31" s="2">
        <f>J30*'Assum-CFL'!$C$58</f>
        <v>22.337719087473214</v>
      </c>
      <c r="K31" s="2">
        <f>K30*'Assum-CFL'!$C$58</f>
        <v>22.45789056557544</v>
      </c>
      <c r="L31" s="2">
        <f>L30*'Assum-CFL'!$C$58</f>
        <v>22.596048679114219</v>
      </c>
      <c r="M31" s="2">
        <f>M30*'Assum-CFL'!$C$58</f>
        <v>22.755488372167637</v>
      </c>
      <c r="N31" s="2">
        <f>N30*'Assum-CFL'!$C$58</f>
        <v>22.940148458478991</v>
      </c>
      <c r="O31" s="2">
        <f>O30*'Assum-CFL'!$C$58</f>
        <v>23.154739639432226</v>
      </c>
      <c r="P31" s="2">
        <f>P30*'Assum-CFL'!$C$58</f>
        <v>23.404898087824687</v>
      </c>
      <c r="Q31" s="2">
        <f>Q30*'Assum-CFL'!$C$58</f>
        <v>23.697369708706656</v>
      </c>
      <c r="R31" s="2">
        <f>R30*'Assum-CFL'!$C$58</f>
        <v>24.040231210716584</v>
      </c>
      <c r="S31" s="2">
        <f>S30*'Assum-CFL'!$C$58</f>
        <v>24.443155347927643</v>
      </c>
      <c r="T31" s="2">
        <f>T30*'Assum-CFL'!$C$58</f>
        <v>24.917729164120018</v>
      </c>
      <c r="U31" s="2">
        <f>U30*'Assum-CFL'!$C$58</f>
        <v>25.477835837666913</v>
      </c>
      <c r="V31" s="2">
        <f>V30*'Assum-CFL'!$C$58</f>
        <v>25.988213416173625</v>
      </c>
      <c r="W31" s="2">
        <f>W30*'Assum-CFL'!$C$58</f>
        <v>1.885213329238691</v>
      </c>
      <c r="X31" s="6"/>
    </row>
    <row r="32" spans="1:24">
      <c r="X32" s="6"/>
    </row>
  </sheetData>
  <mergeCells count="2">
    <mergeCell ref="A3:M3"/>
    <mergeCell ref="B2:D2"/>
  </mergeCells>
  <phoneticPr fontId="0" type="noConversion"/>
  <printOptions horizontalCentered="1"/>
  <pageMargins left="0" right="0" top="0" bottom="0" header="0" footer="0"/>
  <pageSetup scale="5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tabColor rgb="FFFFC000"/>
  </sheetPr>
  <dimension ref="A1:X39"/>
  <sheetViews>
    <sheetView showGridLines="0" topLeftCell="D1" workbookViewId="0">
      <pane ySplit="1" topLeftCell="A2" activePane="bottomLeft" state="frozen"/>
      <selection activeCell="C1" sqref="C1"/>
      <selection pane="bottomLeft" activeCell="A2" sqref="A2"/>
    </sheetView>
  </sheetViews>
  <sheetFormatPr defaultRowHeight="13.5"/>
  <cols>
    <col min="1" max="1" width="9.140625" style="10"/>
    <col min="2" max="2" width="31.85546875" style="10" bestFit="1" customWidth="1"/>
    <col min="3" max="3" width="7.5703125" style="10" bestFit="1" customWidth="1"/>
    <col min="4" max="4" width="13.42578125" style="10" bestFit="1" customWidth="1"/>
    <col min="5" max="5" width="11.5703125" style="10" bestFit="1" customWidth="1"/>
    <col min="6" max="20" width="6.42578125" style="10" bestFit="1" customWidth="1"/>
    <col min="21" max="24" width="5.42578125" style="10" bestFit="1" customWidth="1"/>
    <col min="25" max="25" width="7.42578125" style="10" bestFit="1" customWidth="1"/>
    <col min="26" max="26" width="5.42578125" style="10" bestFit="1" customWidth="1"/>
    <col min="27" max="27" width="7.42578125" style="10" bestFit="1" customWidth="1"/>
    <col min="28" max="28" width="5.42578125" style="10" bestFit="1" customWidth="1"/>
    <col min="29" max="29" width="7.42578125" style="10" bestFit="1" customWidth="1"/>
    <col min="30" max="30" width="5.42578125" style="10" bestFit="1" customWidth="1"/>
    <col min="31" max="31" width="7.42578125" style="10" bestFit="1" customWidth="1"/>
    <col min="32" max="32" width="5.42578125" style="10" bestFit="1" customWidth="1"/>
    <col min="33" max="33" width="7.42578125" style="10" bestFit="1" customWidth="1"/>
    <col min="34" max="34" width="5.42578125" style="10" bestFit="1" customWidth="1"/>
    <col min="35" max="35" width="7.42578125" style="10" bestFit="1" customWidth="1"/>
    <col min="36" max="36" width="5.42578125" style="10" bestFit="1" customWidth="1"/>
    <col min="37" max="37" width="7.42578125" style="10" bestFit="1" customWidth="1"/>
    <col min="38" max="38" width="5.42578125" style="10" bestFit="1" customWidth="1"/>
    <col min="39" max="39" width="7.42578125" style="10" bestFit="1" customWidth="1"/>
    <col min="40" max="40" width="5.42578125" style="10" bestFit="1" customWidth="1"/>
    <col min="41" max="41" width="7.42578125" style="10" bestFit="1" customWidth="1"/>
    <col min="42" max="16384" width="9.140625" style="10"/>
  </cols>
  <sheetData>
    <row r="1" spans="1:24">
      <c r="D1" s="87" t="str">
        <f>'Operation &amp; WC-IL'!C4</f>
        <v>FY01</v>
      </c>
      <c r="E1" s="22" t="str">
        <f>'Operation &amp; WC-IL'!D4</f>
        <v>FY02</v>
      </c>
      <c r="F1" s="22" t="str">
        <f>'Operation &amp; WC-IL'!E4</f>
        <v>FY03</v>
      </c>
      <c r="G1" s="22" t="str">
        <f>'Operation &amp; WC-IL'!F4</f>
        <v>FY04</v>
      </c>
      <c r="H1" s="22" t="str">
        <f>'Operation &amp; WC-IL'!G4</f>
        <v>FY05</v>
      </c>
      <c r="I1" s="22" t="str">
        <f>'Operation &amp; WC-IL'!H4</f>
        <v>FY06</v>
      </c>
      <c r="J1" s="22" t="str">
        <f>'Operation &amp; WC-IL'!I4</f>
        <v>FY07</v>
      </c>
      <c r="K1" s="22" t="str">
        <f>'Operation &amp; WC-IL'!J4</f>
        <v>FY08</v>
      </c>
      <c r="L1" s="22" t="str">
        <f>'Operation &amp; WC-IL'!K4</f>
        <v>FY09</v>
      </c>
      <c r="M1" s="22" t="str">
        <f>'Operation &amp; WC-IL'!L4</f>
        <v>FY10</v>
      </c>
      <c r="N1" s="22" t="str">
        <f>'Operation &amp; WC-IL'!M4</f>
        <v>FY11</v>
      </c>
      <c r="O1" s="22" t="str">
        <f>'Operation &amp; WC-IL'!N4</f>
        <v>FY12</v>
      </c>
      <c r="P1" s="22" t="str">
        <f>'Operation &amp; WC-IL'!O4</f>
        <v>FY13</v>
      </c>
      <c r="Q1" s="22" t="str">
        <f>'Operation &amp; WC-IL'!P4</f>
        <v>FY14</v>
      </c>
      <c r="R1" s="22" t="str">
        <f>'Operation &amp; WC-IL'!Q4</f>
        <v>FY15</v>
      </c>
      <c r="S1" s="22" t="str">
        <f>'Operation &amp; WC-IL'!R4</f>
        <v>FY16</v>
      </c>
      <c r="T1" s="22" t="str">
        <f>'Operation &amp; WC-IL'!S4</f>
        <v>FY17</v>
      </c>
      <c r="U1" s="22" t="str">
        <f>'Operation &amp; WC-IL'!T4</f>
        <v>FY18</v>
      </c>
      <c r="V1" s="22" t="str">
        <f>'Operation &amp; WC-IL'!U4</f>
        <v>FY19</v>
      </c>
      <c r="W1" s="22" t="str">
        <f>'Operation &amp; WC-IL'!V4</f>
        <v>FY20</v>
      </c>
      <c r="X1" s="87" t="str">
        <f>'Operation &amp; WC-IL'!W4</f>
        <v>FY21</v>
      </c>
    </row>
    <row r="2" spans="1:24" ht="15">
      <c r="B2" s="7" t="s">
        <v>28</v>
      </c>
      <c r="C2" s="9"/>
      <c r="D2" s="9"/>
      <c r="E2" s="9"/>
      <c r="F2" s="9"/>
      <c r="G2" s="9"/>
      <c r="H2" s="9"/>
      <c r="I2" s="9"/>
      <c r="J2" s="9"/>
      <c r="K2" s="9"/>
      <c r="L2" s="9"/>
      <c r="M2" s="9"/>
      <c r="N2" s="9"/>
      <c r="O2" s="9"/>
      <c r="P2" s="9"/>
      <c r="Q2" s="9"/>
      <c r="R2" s="9"/>
      <c r="S2" s="9"/>
      <c r="T2" s="9"/>
      <c r="U2" s="9"/>
      <c r="V2" s="9"/>
      <c r="W2" s="9"/>
      <c r="X2" s="9"/>
    </row>
    <row r="3" spans="1:24">
      <c r="B3" s="9"/>
      <c r="C3" s="9"/>
      <c r="D3" s="9"/>
      <c r="E3" s="9"/>
      <c r="F3" s="9"/>
      <c r="G3" s="9"/>
      <c r="H3" s="9"/>
      <c r="I3" s="9"/>
      <c r="J3" s="9"/>
      <c r="K3" s="9"/>
      <c r="L3" s="9"/>
      <c r="M3" s="9"/>
      <c r="N3" s="9"/>
      <c r="O3" s="9"/>
      <c r="P3" s="9"/>
      <c r="Q3" s="9"/>
      <c r="R3" s="9"/>
      <c r="S3" s="9"/>
      <c r="T3" s="9"/>
      <c r="U3" s="9"/>
      <c r="V3" s="9"/>
      <c r="W3" s="9"/>
      <c r="X3" s="9"/>
    </row>
    <row r="4" spans="1:24">
      <c r="B4" s="9" t="s">
        <v>29</v>
      </c>
      <c r="C4" s="11">
        <f>'Prj Cost-IL'!C13</f>
        <v>855</v>
      </c>
      <c r="D4" s="9"/>
      <c r="E4" s="9"/>
      <c r="F4" s="9"/>
      <c r="G4" s="9"/>
      <c r="H4" s="9"/>
      <c r="I4" s="9"/>
      <c r="J4" s="9"/>
      <c r="K4" s="9"/>
      <c r="L4" s="9"/>
      <c r="M4" s="9"/>
      <c r="N4" s="9"/>
      <c r="O4" s="9"/>
      <c r="P4" s="9"/>
      <c r="Q4" s="9"/>
      <c r="R4" s="9"/>
      <c r="S4" s="9"/>
      <c r="T4" s="9"/>
      <c r="U4" s="9"/>
      <c r="V4" s="9"/>
      <c r="W4" s="9"/>
      <c r="X4" s="9"/>
    </row>
    <row r="5" spans="1:24">
      <c r="B5" s="9" t="s">
        <v>30</v>
      </c>
      <c r="C5" s="9"/>
      <c r="D5" s="9"/>
      <c r="E5" s="9"/>
      <c r="F5" s="9"/>
      <c r="G5" s="9"/>
      <c r="H5" s="9"/>
      <c r="I5" s="9"/>
      <c r="J5" s="9"/>
      <c r="K5" s="9"/>
      <c r="L5" s="9"/>
      <c r="M5" s="9"/>
      <c r="N5" s="9"/>
      <c r="O5" s="9"/>
      <c r="P5" s="9"/>
      <c r="Q5" s="9"/>
      <c r="R5" s="9"/>
      <c r="S5" s="9"/>
      <c r="T5" s="9"/>
      <c r="U5" s="9"/>
      <c r="V5" s="9"/>
      <c r="W5" s="9"/>
      <c r="X5" s="9"/>
    </row>
    <row r="6" spans="1:24">
      <c r="B6" s="9" t="s">
        <v>39</v>
      </c>
      <c r="C6" s="11">
        <f>'Prj Cost-IL'!C6</f>
        <v>200</v>
      </c>
      <c r="D6" s="9"/>
      <c r="E6" s="9"/>
      <c r="F6" s="9"/>
      <c r="G6" s="9"/>
      <c r="H6" s="9"/>
      <c r="I6" s="9"/>
      <c r="J6" s="9"/>
      <c r="K6" s="9"/>
      <c r="L6" s="9"/>
      <c r="M6" s="9"/>
      <c r="N6" s="9"/>
      <c r="O6" s="9"/>
      <c r="P6" s="9"/>
      <c r="Q6" s="9"/>
      <c r="R6" s="9"/>
      <c r="S6" s="9"/>
      <c r="T6" s="9"/>
      <c r="U6" s="9"/>
      <c r="V6" s="9"/>
      <c r="W6" s="9"/>
      <c r="X6" s="9"/>
    </row>
    <row r="7" spans="1:24">
      <c r="B7" s="9" t="s">
        <v>72</v>
      </c>
      <c r="C7" s="11">
        <f>'Prj Cost-IL'!C9</f>
        <v>25</v>
      </c>
      <c r="D7" s="9"/>
      <c r="E7" s="9"/>
      <c r="F7" s="9"/>
      <c r="G7" s="9"/>
      <c r="H7" s="9"/>
      <c r="I7" s="9"/>
      <c r="J7" s="9"/>
      <c r="K7" s="9"/>
      <c r="L7" s="9"/>
      <c r="M7" s="9"/>
      <c r="N7" s="9"/>
      <c r="O7" s="9"/>
      <c r="P7" s="9"/>
      <c r="Q7" s="9"/>
      <c r="R7" s="9"/>
      <c r="S7" s="9"/>
      <c r="T7" s="9"/>
      <c r="U7" s="9"/>
      <c r="V7" s="9"/>
      <c r="W7" s="9"/>
      <c r="X7" s="9"/>
    </row>
    <row r="8" spans="1:24">
      <c r="B8" s="9" t="s">
        <v>73</v>
      </c>
      <c r="C8" s="11">
        <f>'Prj Cost-IL'!C10</f>
        <v>15</v>
      </c>
      <c r="D8" s="9"/>
      <c r="E8" s="9"/>
      <c r="F8" s="9"/>
      <c r="G8" s="9"/>
      <c r="H8" s="9"/>
      <c r="I8" s="9"/>
      <c r="J8" s="9"/>
      <c r="K8" s="9"/>
      <c r="L8" s="9"/>
      <c r="M8" s="9"/>
      <c r="N8" s="9"/>
      <c r="O8" s="9"/>
      <c r="P8" s="9"/>
      <c r="Q8" s="9"/>
      <c r="R8" s="9"/>
      <c r="S8" s="9"/>
      <c r="T8" s="9"/>
      <c r="U8" s="9"/>
      <c r="V8" s="9"/>
      <c r="W8" s="9"/>
      <c r="X8" s="9"/>
    </row>
    <row r="9" spans="1:24">
      <c r="B9" s="9" t="s">
        <v>74</v>
      </c>
      <c r="C9" s="11">
        <f>'Prj Cost-IL'!C11</f>
        <v>10</v>
      </c>
      <c r="D9" s="9"/>
      <c r="E9" s="9"/>
      <c r="F9" s="9"/>
      <c r="G9" s="9"/>
      <c r="H9" s="9"/>
      <c r="I9" s="9"/>
      <c r="J9" s="9"/>
      <c r="K9" s="9"/>
      <c r="L9" s="9"/>
      <c r="M9" s="9"/>
      <c r="N9" s="9"/>
      <c r="O9" s="9"/>
      <c r="P9" s="9"/>
      <c r="Q9" s="9"/>
      <c r="R9" s="9"/>
      <c r="S9" s="9"/>
      <c r="T9" s="9"/>
      <c r="U9" s="9"/>
      <c r="V9" s="9"/>
      <c r="W9" s="9"/>
      <c r="X9" s="9"/>
    </row>
    <row r="10" spans="1:24">
      <c r="B10" s="9" t="s">
        <v>75</v>
      </c>
      <c r="C10" s="11">
        <f>'Prj Cost-IL'!C12</f>
        <v>30</v>
      </c>
      <c r="D10" s="9"/>
      <c r="E10" s="9"/>
      <c r="F10" s="9"/>
      <c r="G10" s="9"/>
      <c r="H10" s="9"/>
      <c r="I10" s="9"/>
      <c r="J10" s="9"/>
      <c r="K10" s="9"/>
      <c r="L10" s="9"/>
      <c r="M10" s="9"/>
      <c r="N10" s="9"/>
      <c r="O10" s="9"/>
      <c r="P10" s="9"/>
      <c r="Q10" s="9"/>
      <c r="R10" s="9"/>
      <c r="S10" s="9"/>
      <c r="T10" s="9"/>
      <c r="U10" s="9"/>
      <c r="V10" s="9"/>
      <c r="W10" s="9"/>
      <c r="X10" s="9"/>
    </row>
    <row r="11" spans="1:24">
      <c r="B11" s="9"/>
      <c r="C11" s="11">
        <f>+C4-SUM(C6:C10)</f>
        <v>575</v>
      </c>
      <c r="D11" s="9"/>
      <c r="E11" s="9"/>
      <c r="F11" s="9"/>
      <c r="G11" s="9"/>
      <c r="H11" s="9"/>
      <c r="I11" s="9"/>
      <c r="J11" s="9"/>
      <c r="K11" s="9"/>
      <c r="L11" s="9"/>
      <c r="M11" s="9"/>
      <c r="N11" s="9"/>
      <c r="O11" s="9"/>
      <c r="P11" s="9"/>
      <c r="Q11" s="9"/>
      <c r="R11" s="9"/>
      <c r="S11" s="9"/>
      <c r="T11" s="9"/>
      <c r="U11" s="9"/>
      <c r="V11" s="9"/>
      <c r="W11" s="9"/>
      <c r="X11" s="9"/>
    </row>
    <row r="12" spans="1:24" ht="15">
      <c r="B12" s="7" t="s">
        <v>31</v>
      </c>
      <c r="C12" s="9"/>
      <c r="D12" s="9" t="s">
        <v>52</v>
      </c>
      <c r="E12" s="9"/>
      <c r="F12" s="9"/>
      <c r="G12" s="9"/>
      <c r="H12" s="9"/>
      <c r="I12" s="9"/>
      <c r="J12" s="9"/>
      <c r="K12" s="9"/>
      <c r="L12" s="9"/>
      <c r="M12" s="9"/>
      <c r="N12" s="9"/>
      <c r="O12" s="9"/>
      <c r="P12" s="9"/>
      <c r="Q12" s="9"/>
      <c r="R12" s="9"/>
      <c r="S12" s="9"/>
      <c r="T12" s="9"/>
      <c r="U12" s="9"/>
      <c r="V12" s="9"/>
      <c r="W12" s="9"/>
      <c r="X12" s="9"/>
    </row>
    <row r="13" spans="1:24">
      <c r="B13" s="10" t="s">
        <v>71</v>
      </c>
      <c r="C13" s="64">
        <f>'Assum-IL'!C26</f>
        <v>0.1</v>
      </c>
      <c r="D13" s="11">
        <f>'Prj Cost-IL'!C7</f>
        <v>220</v>
      </c>
      <c r="E13" s="9"/>
      <c r="F13" s="9"/>
      <c r="G13" s="9"/>
      <c r="H13" s="9"/>
      <c r="I13" s="9"/>
      <c r="J13" s="9"/>
      <c r="K13" s="9"/>
      <c r="L13" s="9"/>
      <c r="M13" s="9"/>
      <c r="N13" s="9"/>
      <c r="O13" s="9"/>
      <c r="P13" s="9"/>
      <c r="Q13" s="9"/>
      <c r="R13" s="9"/>
      <c r="S13" s="9"/>
      <c r="T13" s="9"/>
      <c r="U13" s="9"/>
      <c r="V13" s="9"/>
      <c r="W13" s="9"/>
      <c r="X13" s="9"/>
    </row>
    <row r="14" spans="1:24">
      <c r="B14" s="10" t="s">
        <v>36</v>
      </c>
      <c r="C14" s="64">
        <f>'Assum-IL'!C27</f>
        <v>0.15</v>
      </c>
      <c r="D14" s="11">
        <f>'Prj Cost-IL'!C8</f>
        <v>355</v>
      </c>
      <c r="E14" s="9"/>
      <c r="F14" s="9"/>
      <c r="G14" s="9"/>
      <c r="H14" s="9"/>
      <c r="I14" s="9"/>
      <c r="J14" s="9"/>
      <c r="K14" s="9"/>
      <c r="L14" s="9"/>
      <c r="M14" s="9"/>
      <c r="N14" s="9"/>
      <c r="O14" s="9"/>
      <c r="P14" s="9"/>
      <c r="Q14" s="9"/>
      <c r="R14" s="9"/>
      <c r="S14" s="9"/>
      <c r="T14" s="9"/>
      <c r="U14" s="9"/>
      <c r="V14" s="9"/>
      <c r="W14" s="9"/>
      <c r="X14" s="9"/>
    </row>
    <row r="15" spans="1:24">
      <c r="C15" s="71"/>
      <c r="D15" s="72"/>
      <c r="E15" s="73"/>
      <c r="F15" s="74"/>
      <c r="G15" s="73"/>
      <c r="H15" s="74"/>
      <c r="I15" s="73"/>
      <c r="J15" s="74"/>
      <c r="K15" s="73"/>
      <c r="L15" s="74"/>
      <c r="M15" s="73"/>
      <c r="N15" s="74"/>
      <c r="O15" s="73"/>
      <c r="P15" s="74"/>
      <c r="Q15" s="73"/>
      <c r="R15" s="74"/>
      <c r="S15" s="73"/>
      <c r="T15" s="74"/>
      <c r="U15" s="73"/>
      <c r="V15" s="74"/>
      <c r="W15" s="74"/>
      <c r="X15" s="74"/>
    </row>
    <row r="16" spans="1:24" ht="15">
      <c r="A16" s="75" t="s">
        <v>216</v>
      </c>
      <c r="B16" s="7"/>
      <c r="C16" s="9"/>
      <c r="D16" s="9" t="s">
        <v>215</v>
      </c>
      <c r="E16" s="9"/>
      <c r="F16" s="9"/>
      <c r="G16" s="9"/>
      <c r="H16" s="9"/>
      <c r="I16" s="9"/>
      <c r="J16" s="9"/>
      <c r="K16" s="9"/>
      <c r="L16" s="9"/>
      <c r="M16" s="9"/>
      <c r="N16" s="9"/>
      <c r="O16" s="9"/>
      <c r="P16" s="9"/>
      <c r="Q16" s="9"/>
      <c r="R16" s="9"/>
      <c r="S16" s="9"/>
      <c r="T16" s="9"/>
      <c r="U16" s="9"/>
      <c r="V16" s="9"/>
      <c r="W16" s="9"/>
      <c r="X16" s="9"/>
    </row>
    <row r="17" spans="1:24">
      <c r="B17" s="9" t="s">
        <v>71</v>
      </c>
      <c r="C17" s="9"/>
      <c r="D17" s="9"/>
      <c r="E17" s="9"/>
      <c r="F17" s="9"/>
      <c r="G17" s="9"/>
      <c r="H17" s="9"/>
      <c r="I17" s="9"/>
      <c r="J17" s="9"/>
      <c r="K17" s="9"/>
      <c r="L17" s="9"/>
      <c r="M17" s="9"/>
      <c r="N17" s="9"/>
      <c r="O17" s="9"/>
      <c r="P17" s="9"/>
      <c r="Q17" s="9"/>
      <c r="R17" s="9"/>
      <c r="S17" s="9"/>
      <c r="T17" s="9"/>
      <c r="U17" s="9"/>
      <c r="V17" s="9"/>
      <c r="W17" s="9"/>
      <c r="X17" s="9"/>
    </row>
    <row r="18" spans="1:24">
      <c r="B18" s="70" t="s">
        <v>213</v>
      </c>
      <c r="C18" s="9"/>
      <c r="D18" s="11">
        <f>D13</f>
        <v>220</v>
      </c>
      <c r="E18" s="11">
        <f>D20</f>
        <v>198</v>
      </c>
      <c r="F18" s="11">
        <f t="shared" ref="F18:V18" si="0">E20</f>
        <v>178.2</v>
      </c>
      <c r="G18" s="11">
        <f t="shared" si="0"/>
        <v>160.38</v>
      </c>
      <c r="H18" s="11">
        <f t="shared" si="0"/>
        <v>144.34199999999998</v>
      </c>
      <c r="I18" s="11">
        <f t="shared" si="0"/>
        <v>129.90779999999998</v>
      </c>
      <c r="J18" s="11">
        <f t="shared" si="0"/>
        <v>116.91701999999998</v>
      </c>
      <c r="K18" s="11">
        <f t="shared" si="0"/>
        <v>105.22531799999999</v>
      </c>
      <c r="L18" s="11">
        <f t="shared" si="0"/>
        <v>94.702786199999991</v>
      </c>
      <c r="M18" s="11">
        <f t="shared" si="0"/>
        <v>85.232507579999989</v>
      </c>
      <c r="N18" s="11">
        <f t="shared" si="0"/>
        <v>76.709256821999986</v>
      </c>
      <c r="O18" s="11">
        <f t="shared" si="0"/>
        <v>69.038331139799993</v>
      </c>
      <c r="P18" s="11">
        <f t="shared" si="0"/>
        <v>62.134498025819994</v>
      </c>
      <c r="Q18" s="11">
        <f t="shared" si="0"/>
        <v>55.921048223237996</v>
      </c>
      <c r="R18" s="11">
        <f t="shared" si="0"/>
        <v>50.328943400914198</v>
      </c>
      <c r="S18" s="11">
        <f t="shared" si="0"/>
        <v>45.296049060822781</v>
      </c>
      <c r="T18" s="11">
        <f t="shared" si="0"/>
        <v>40.766444154740505</v>
      </c>
      <c r="U18" s="11">
        <f t="shared" si="0"/>
        <v>36.689799739266455</v>
      </c>
      <c r="V18" s="11">
        <f t="shared" si="0"/>
        <v>33.020819765339809</v>
      </c>
      <c r="W18" s="11">
        <f>V20</f>
        <v>29.718737788805829</v>
      </c>
      <c r="X18" s="11">
        <f>W20</f>
        <v>26.746864009925247</v>
      </c>
    </row>
    <row r="19" spans="1:24">
      <c r="B19" s="70" t="s">
        <v>27</v>
      </c>
      <c r="C19" s="9"/>
      <c r="D19" s="11">
        <f>D18*$C$13</f>
        <v>22</v>
      </c>
      <c r="E19" s="11">
        <f>E18*$C$13</f>
        <v>19.8</v>
      </c>
      <c r="F19" s="11">
        <f t="shared" ref="F19:V19" si="1">F18*$C$13</f>
        <v>17.82</v>
      </c>
      <c r="G19" s="11">
        <f t="shared" si="1"/>
        <v>16.038</v>
      </c>
      <c r="H19" s="11">
        <f t="shared" si="1"/>
        <v>14.434199999999999</v>
      </c>
      <c r="I19" s="11">
        <f t="shared" si="1"/>
        <v>12.990779999999999</v>
      </c>
      <c r="J19" s="11">
        <f t="shared" si="1"/>
        <v>11.691701999999999</v>
      </c>
      <c r="K19" s="11">
        <f t="shared" si="1"/>
        <v>10.522531799999999</v>
      </c>
      <c r="L19" s="11">
        <f t="shared" si="1"/>
        <v>9.4702786200000002</v>
      </c>
      <c r="M19" s="11">
        <f t="shared" si="1"/>
        <v>8.5232507579999996</v>
      </c>
      <c r="N19" s="11">
        <f t="shared" si="1"/>
        <v>7.6709256821999992</v>
      </c>
      <c r="O19" s="11">
        <f t="shared" si="1"/>
        <v>6.9038331139799993</v>
      </c>
      <c r="P19" s="11">
        <f t="shared" si="1"/>
        <v>6.2134498025819997</v>
      </c>
      <c r="Q19" s="11">
        <f t="shared" si="1"/>
        <v>5.5921048223238001</v>
      </c>
      <c r="R19" s="11">
        <f t="shared" si="1"/>
        <v>5.0328943400914206</v>
      </c>
      <c r="S19" s="11">
        <f t="shared" si="1"/>
        <v>4.5296049060822785</v>
      </c>
      <c r="T19" s="11">
        <f t="shared" si="1"/>
        <v>4.0766444154740507</v>
      </c>
      <c r="U19" s="11">
        <f t="shared" si="1"/>
        <v>3.6689799739266458</v>
      </c>
      <c r="V19" s="11">
        <f t="shared" si="1"/>
        <v>3.3020819765339811</v>
      </c>
      <c r="W19" s="11">
        <f>W18*$C$13</f>
        <v>2.9718737788805831</v>
      </c>
      <c r="X19" s="11">
        <f>X18*$C$13</f>
        <v>2.6746864009925249</v>
      </c>
    </row>
    <row r="20" spans="1:24">
      <c r="B20" s="70" t="s">
        <v>53</v>
      </c>
      <c r="C20" s="9"/>
      <c r="D20" s="11">
        <f>D18-D19</f>
        <v>198</v>
      </c>
      <c r="E20" s="11">
        <f>E18-E19</f>
        <v>178.2</v>
      </c>
      <c r="F20" s="11">
        <f t="shared" ref="F20:V20" si="2">F18-F19</f>
        <v>160.38</v>
      </c>
      <c r="G20" s="11">
        <f t="shared" si="2"/>
        <v>144.34199999999998</v>
      </c>
      <c r="H20" s="11">
        <f t="shared" si="2"/>
        <v>129.90779999999998</v>
      </c>
      <c r="I20" s="11">
        <f t="shared" si="2"/>
        <v>116.91701999999998</v>
      </c>
      <c r="J20" s="11">
        <f t="shared" si="2"/>
        <v>105.22531799999999</v>
      </c>
      <c r="K20" s="11">
        <f t="shared" si="2"/>
        <v>94.702786199999991</v>
      </c>
      <c r="L20" s="11">
        <f t="shared" si="2"/>
        <v>85.232507579999989</v>
      </c>
      <c r="M20" s="11">
        <f t="shared" si="2"/>
        <v>76.709256821999986</v>
      </c>
      <c r="N20" s="11">
        <f t="shared" si="2"/>
        <v>69.038331139799993</v>
      </c>
      <c r="O20" s="11">
        <f t="shared" si="2"/>
        <v>62.134498025819994</v>
      </c>
      <c r="P20" s="11">
        <f t="shared" si="2"/>
        <v>55.921048223237996</v>
      </c>
      <c r="Q20" s="11">
        <f t="shared" si="2"/>
        <v>50.328943400914198</v>
      </c>
      <c r="R20" s="11">
        <f t="shared" si="2"/>
        <v>45.296049060822781</v>
      </c>
      <c r="S20" s="11">
        <f t="shared" si="2"/>
        <v>40.766444154740505</v>
      </c>
      <c r="T20" s="11">
        <f t="shared" si="2"/>
        <v>36.689799739266455</v>
      </c>
      <c r="U20" s="11">
        <f t="shared" si="2"/>
        <v>33.020819765339809</v>
      </c>
      <c r="V20" s="11">
        <f t="shared" si="2"/>
        <v>29.718737788805829</v>
      </c>
      <c r="W20" s="11">
        <f>W18-W19</f>
        <v>26.746864009925247</v>
      </c>
      <c r="X20" s="11">
        <f>X18-X19</f>
        <v>24.072177608932723</v>
      </c>
    </row>
    <row r="21" spans="1:24">
      <c r="B21" s="9" t="s">
        <v>36</v>
      </c>
      <c r="C21" s="9"/>
      <c r="D21" s="9"/>
      <c r="E21" s="9"/>
      <c r="F21" s="9"/>
      <c r="G21" s="9"/>
      <c r="H21" s="9"/>
      <c r="I21" s="9"/>
      <c r="J21" s="9"/>
      <c r="K21" s="9"/>
      <c r="L21" s="9"/>
      <c r="M21" s="9"/>
      <c r="N21" s="9"/>
      <c r="O21" s="9"/>
      <c r="P21" s="9"/>
      <c r="Q21" s="9"/>
      <c r="R21" s="9"/>
      <c r="S21" s="9"/>
      <c r="T21" s="9"/>
      <c r="U21" s="9"/>
      <c r="V21" s="9"/>
      <c r="W21" s="9"/>
      <c r="X21" s="9"/>
    </row>
    <row r="22" spans="1:24">
      <c r="B22" s="70" t="s">
        <v>213</v>
      </c>
      <c r="C22" s="9"/>
      <c r="D22" s="11">
        <f>D14</f>
        <v>355</v>
      </c>
      <c r="E22" s="11">
        <f>D24</f>
        <v>301.75</v>
      </c>
      <c r="F22" s="11">
        <f t="shared" ref="F22:V22" si="3">E24</f>
        <v>256.48750000000001</v>
      </c>
      <c r="G22" s="11">
        <f t="shared" si="3"/>
        <v>218.014375</v>
      </c>
      <c r="H22" s="11">
        <f t="shared" si="3"/>
        <v>185.31221875</v>
      </c>
      <c r="I22" s="11">
        <f t="shared" si="3"/>
        <v>157.51538593750001</v>
      </c>
      <c r="J22" s="11">
        <f t="shared" si="3"/>
        <v>133.88807804687502</v>
      </c>
      <c r="K22" s="11">
        <f t="shared" si="3"/>
        <v>113.80486633984377</v>
      </c>
      <c r="L22" s="11">
        <f t="shared" si="3"/>
        <v>96.734136388867199</v>
      </c>
      <c r="M22" s="11">
        <f t="shared" si="3"/>
        <v>82.224015930537121</v>
      </c>
      <c r="N22" s="11">
        <f t="shared" si="3"/>
        <v>69.890413540956558</v>
      </c>
      <c r="O22" s="11">
        <f t="shared" si="3"/>
        <v>59.406851509813073</v>
      </c>
      <c r="P22" s="11">
        <f t="shared" si="3"/>
        <v>50.495823783341109</v>
      </c>
      <c r="Q22" s="11">
        <f t="shared" si="3"/>
        <v>42.92145021583994</v>
      </c>
      <c r="R22" s="11">
        <f t="shared" si="3"/>
        <v>36.483232683463946</v>
      </c>
      <c r="S22" s="11">
        <f t="shared" si="3"/>
        <v>31.010747780944353</v>
      </c>
      <c r="T22" s="11">
        <f t="shared" si="3"/>
        <v>26.3591356138027</v>
      </c>
      <c r="U22" s="11">
        <f t="shared" si="3"/>
        <v>22.405265271732294</v>
      </c>
      <c r="V22" s="11">
        <f t="shared" si="3"/>
        <v>19.044475480972451</v>
      </c>
      <c r="W22" s="11">
        <f>V24</f>
        <v>16.187804158826584</v>
      </c>
      <c r="X22" s="11">
        <f>W24</f>
        <v>13.759633535002596</v>
      </c>
    </row>
    <row r="23" spans="1:24">
      <c r="B23" s="70" t="s">
        <v>27</v>
      </c>
      <c r="C23" s="9"/>
      <c r="D23" s="11">
        <f>D22*$C$14</f>
        <v>53.25</v>
      </c>
      <c r="E23" s="11">
        <f>E22*$C$14</f>
        <v>45.262499999999996</v>
      </c>
      <c r="F23" s="11">
        <f t="shared" ref="F23:V23" si="4">F22*$C$14</f>
        <v>38.473125000000003</v>
      </c>
      <c r="G23" s="11">
        <f t="shared" si="4"/>
        <v>32.702156250000002</v>
      </c>
      <c r="H23" s="11">
        <f t="shared" si="4"/>
        <v>27.7968328125</v>
      </c>
      <c r="I23" s="11">
        <f t="shared" si="4"/>
        <v>23.627307890625001</v>
      </c>
      <c r="J23" s="11">
        <f t="shared" si="4"/>
        <v>20.083211707031253</v>
      </c>
      <c r="K23" s="11">
        <f t="shared" si="4"/>
        <v>17.070729950976563</v>
      </c>
      <c r="L23" s="11">
        <f t="shared" si="4"/>
        <v>14.510120458330078</v>
      </c>
      <c r="M23" s="11">
        <f t="shared" si="4"/>
        <v>12.333602389580568</v>
      </c>
      <c r="N23" s="11">
        <f t="shared" si="4"/>
        <v>10.483562031143483</v>
      </c>
      <c r="O23" s="11">
        <f t="shared" si="4"/>
        <v>8.9110277264719606</v>
      </c>
      <c r="P23" s="11">
        <f t="shared" si="4"/>
        <v>7.5743735675011656</v>
      </c>
      <c r="Q23" s="11">
        <f t="shared" si="4"/>
        <v>6.4382175323759911</v>
      </c>
      <c r="R23" s="11">
        <f t="shared" si="4"/>
        <v>5.4724849025195921</v>
      </c>
      <c r="S23" s="11">
        <f t="shared" si="4"/>
        <v>4.6516121671416526</v>
      </c>
      <c r="T23" s="11">
        <f t="shared" si="4"/>
        <v>3.9538703420704047</v>
      </c>
      <c r="U23" s="11">
        <f t="shared" si="4"/>
        <v>3.3607897907598439</v>
      </c>
      <c r="V23" s="11">
        <f t="shared" si="4"/>
        <v>2.8566713221458677</v>
      </c>
      <c r="W23" s="11">
        <f>W22*$C$14</f>
        <v>2.4281706238239873</v>
      </c>
      <c r="X23" s="11">
        <f>X22*$C$14</f>
        <v>2.0639450302503892</v>
      </c>
    </row>
    <row r="24" spans="1:24">
      <c r="B24" s="70" t="s">
        <v>53</v>
      </c>
      <c r="C24" s="9"/>
      <c r="D24" s="11">
        <f>D22-D23</f>
        <v>301.75</v>
      </c>
      <c r="E24" s="11">
        <f>E22-E23</f>
        <v>256.48750000000001</v>
      </c>
      <c r="F24" s="11">
        <f t="shared" ref="F24:V24" si="5">F22-F23</f>
        <v>218.014375</v>
      </c>
      <c r="G24" s="11">
        <f t="shared" si="5"/>
        <v>185.31221875</v>
      </c>
      <c r="H24" s="11">
        <f t="shared" si="5"/>
        <v>157.51538593750001</v>
      </c>
      <c r="I24" s="11">
        <f t="shared" si="5"/>
        <v>133.88807804687502</v>
      </c>
      <c r="J24" s="11">
        <f t="shared" si="5"/>
        <v>113.80486633984377</v>
      </c>
      <c r="K24" s="11">
        <f t="shared" si="5"/>
        <v>96.734136388867199</v>
      </c>
      <c r="L24" s="11">
        <f t="shared" si="5"/>
        <v>82.224015930537121</v>
      </c>
      <c r="M24" s="11">
        <f t="shared" si="5"/>
        <v>69.890413540956558</v>
      </c>
      <c r="N24" s="11">
        <f t="shared" si="5"/>
        <v>59.406851509813073</v>
      </c>
      <c r="O24" s="11">
        <f t="shared" si="5"/>
        <v>50.495823783341109</v>
      </c>
      <c r="P24" s="11">
        <f t="shared" si="5"/>
        <v>42.92145021583994</v>
      </c>
      <c r="Q24" s="11">
        <f t="shared" si="5"/>
        <v>36.483232683463946</v>
      </c>
      <c r="R24" s="11">
        <f t="shared" si="5"/>
        <v>31.010747780944353</v>
      </c>
      <c r="S24" s="11">
        <f t="shared" si="5"/>
        <v>26.3591356138027</v>
      </c>
      <c r="T24" s="11">
        <f t="shared" si="5"/>
        <v>22.405265271732294</v>
      </c>
      <c r="U24" s="11">
        <f t="shared" si="5"/>
        <v>19.044475480972451</v>
      </c>
      <c r="V24" s="11">
        <f t="shared" si="5"/>
        <v>16.187804158826584</v>
      </c>
      <c r="W24" s="11">
        <f>W22-W23</f>
        <v>13.759633535002596</v>
      </c>
      <c r="X24" s="11">
        <f>X22-X23</f>
        <v>11.695688504752207</v>
      </c>
    </row>
    <row r="25" spans="1:24">
      <c r="B25" s="9" t="s">
        <v>217</v>
      </c>
      <c r="C25" s="9"/>
      <c r="D25" s="11">
        <f>D19+D23</f>
        <v>75.25</v>
      </c>
      <c r="E25" s="11">
        <f t="shared" ref="E25:V25" si="6">E19+E23</f>
        <v>65.0625</v>
      </c>
      <c r="F25" s="11">
        <f t="shared" si="6"/>
        <v>56.293125000000003</v>
      </c>
      <c r="G25" s="11">
        <f t="shared" si="6"/>
        <v>48.740156249999998</v>
      </c>
      <c r="H25" s="11">
        <f t="shared" si="6"/>
        <v>42.231032812499997</v>
      </c>
      <c r="I25" s="11">
        <f t="shared" si="6"/>
        <v>36.618087890624999</v>
      </c>
      <c r="J25" s="11">
        <f t="shared" si="6"/>
        <v>31.774913707031253</v>
      </c>
      <c r="K25" s="11">
        <f t="shared" si="6"/>
        <v>27.593261750976563</v>
      </c>
      <c r="L25" s="11">
        <f t="shared" si="6"/>
        <v>23.98039907833008</v>
      </c>
      <c r="M25" s="11">
        <f t="shared" si="6"/>
        <v>20.856853147580566</v>
      </c>
      <c r="N25" s="11">
        <f t="shared" si="6"/>
        <v>18.154487713343482</v>
      </c>
      <c r="O25" s="11">
        <f t="shared" si="6"/>
        <v>15.81486084045196</v>
      </c>
      <c r="P25" s="11">
        <f t="shared" si="6"/>
        <v>13.787823370083165</v>
      </c>
      <c r="Q25" s="11">
        <f t="shared" si="6"/>
        <v>12.030322354699791</v>
      </c>
      <c r="R25" s="11">
        <f t="shared" si="6"/>
        <v>10.505379242611014</v>
      </c>
      <c r="S25" s="11">
        <f t="shared" si="6"/>
        <v>9.1812170732239302</v>
      </c>
      <c r="T25" s="11">
        <f t="shared" si="6"/>
        <v>8.0305147575444558</v>
      </c>
      <c r="U25" s="11">
        <f t="shared" si="6"/>
        <v>7.0297697646864901</v>
      </c>
      <c r="V25" s="11">
        <f t="shared" si="6"/>
        <v>6.1587532986798488</v>
      </c>
      <c r="W25" s="11">
        <f>W19+W23</f>
        <v>5.4000444027045704</v>
      </c>
      <c r="X25" s="11">
        <f>X19+X23</f>
        <v>4.7386314312429141</v>
      </c>
    </row>
    <row r="27" spans="1:24" ht="15">
      <c r="A27" s="75" t="s">
        <v>50</v>
      </c>
      <c r="B27" s="7"/>
      <c r="C27" s="9"/>
      <c r="D27" s="9" t="s">
        <v>215</v>
      </c>
      <c r="E27" s="9" t="s">
        <v>78</v>
      </c>
    </row>
    <row r="28" spans="1:24">
      <c r="B28" s="9" t="s">
        <v>71</v>
      </c>
      <c r="C28" s="76">
        <f>'Assum-IL'!C29</f>
        <v>3.3399999999999999E-2</v>
      </c>
      <c r="D28" s="11">
        <f>+D13</f>
        <v>220</v>
      </c>
      <c r="E28" s="11">
        <f>C28*D28</f>
        <v>7.3479999999999999</v>
      </c>
    </row>
    <row r="29" spans="1:24">
      <c r="B29" s="9" t="s">
        <v>36</v>
      </c>
      <c r="C29" s="76">
        <f>'Assum-IL'!C30</f>
        <v>5.28E-2</v>
      </c>
      <c r="D29" s="11">
        <f>+D14</f>
        <v>355</v>
      </c>
      <c r="E29" s="11">
        <f>C29*D29</f>
        <v>18.744</v>
      </c>
    </row>
    <row r="30" spans="1:24" ht="15">
      <c r="B30" s="7" t="s">
        <v>50</v>
      </c>
      <c r="C30" s="9"/>
      <c r="D30" s="9" t="s">
        <v>215</v>
      </c>
      <c r="E30" s="9"/>
      <c r="F30" s="9"/>
      <c r="G30" s="9"/>
      <c r="H30" s="9"/>
      <c r="I30" s="9"/>
      <c r="J30" s="9"/>
      <c r="K30" s="9"/>
      <c r="L30" s="9"/>
      <c r="M30" s="9"/>
      <c r="N30" s="9"/>
      <c r="O30" s="9"/>
      <c r="P30" s="9"/>
      <c r="Q30" s="9"/>
      <c r="R30" s="9"/>
      <c r="S30" s="9"/>
      <c r="T30" s="9"/>
      <c r="U30" s="9"/>
      <c r="V30" s="9"/>
      <c r="W30" s="9"/>
      <c r="X30" s="9"/>
    </row>
    <row r="31" spans="1:24">
      <c r="B31" s="9" t="s">
        <v>71</v>
      </c>
      <c r="C31" s="9"/>
      <c r="D31" s="9"/>
      <c r="E31" s="9"/>
      <c r="F31" s="9"/>
      <c r="G31" s="9"/>
      <c r="H31" s="9"/>
      <c r="I31" s="9"/>
      <c r="J31" s="9"/>
      <c r="K31" s="9"/>
      <c r="L31" s="9"/>
      <c r="M31" s="9"/>
      <c r="N31" s="9"/>
      <c r="O31" s="9"/>
      <c r="P31" s="9"/>
      <c r="Q31" s="9"/>
      <c r="R31" s="9"/>
      <c r="S31" s="9"/>
      <c r="T31" s="9"/>
      <c r="U31" s="9"/>
      <c r="V31" s="9"/>
      <c r="W31" s="9"/>
      <c r="X31" s="9"/>
    </row>
    <row r="32" spans="1:24">
      <c r="B32" s="70" t="s">
        <v>213</v>
      </c>
      <c r="C32" s="9"/>
      <c r="D32" s="11">
        <f>D28</f>
        <v>220</v>
      </c>
      <c r="E32" s="11">
        <f>D34</f>
        <v>215.10133333333334</v>
      </c>
      <c r="F32" s="11">
        <f t="shared" ref="F32:V32" si="7">E34</f>
        <v>207.75333333333333</v>
      </c>
      <c r="G32" s="11">
        <f t="shared" si="7"/>
        <v>200.40533333333332</v>
      </c>
      <c r="H32" s="11">
        <f t="shared" si="7"/>
        <v>193.0573333333333</v>
      </c>
      <c r="I32" s="11">
        <f t="shared" si="7"/>
        <v>185.70933333333329</v>
      </c>
      <c r="J32" s="11">
        <f t="shared" si="7"/>
        <v>178.36133333333328</v>
      </c>
      <c r="K32" s="11">
        <f t="shared" si="7"/>
        <v>171.01333333333326</v>
      </c>
      <c r="L32" s="11">
        <f t="shared" si="7"/>
        <v>163.66533333333325</v>
      </c>
      <c r="M32" s="11">
        <f t="shared" si="7"/>
        <v>156.31733333333324</v>
      </c>
      <c r="N32" s="11">
        <f t="shared" si="7"/>
        <v>148.96933333333322</v>
      </c>
      <c r="O32" s="11">
        <f t="shared" si="7"/>
        <v>141.62133333333321</v>
      </c>
      <c r="P32" s="11">
        <f t="shared" si="7"/>
        <v>134.2733333333332</v>
      </c>
      <c r="Q32" s="11">
        <f t="shared" si="7"/>
        <v>126.9253333333332</v>
      </c>
      <c r="R32" s="11">
        <f t="shared" si="7"/>
        <v>119.5773333333332</v>
      </c>
      <c r="S32" s="11">
        <f t="shared" si="7"/>
        <v>112.2293333333332</v>
      </c>
      <c r="T32" s="11">
        <f t="shared" si="7"/>
        <v>104.8813333333332</v>
      </c>
      <c r="U32" s="11">
        <f t="shared" si="7"/>
        <v>97.533333333333204</v>
      </c>
      <c r="V32" s="11">
        <f t="shared" si="7"/>
        <v>90.185333333333205</v>
      </c>
      <c r="W32" s="11">
        <f>V34</f>
        <v>82.837333333333206</v>
      </c>
      <c r="X32" s="11">
        <f>W34</f>
        <v>75.489333333333207</v>
      </c>
    </row>
    <row r="33" spans="2:24">
      <c r="B33" s="70" t="s">
        <v>27</v>
      </c>
      <c r="C33" s="9"/>
      <c r="D33" s="11">
        <f>IF(D32&gt;$E$28,$E$28,D32)*(8/12)</f>
        <v>4.8986666666666663</v>
      </c>
      <c r="E33" s="11">
        <f>IF(E32&gt;$E$28,$E$28,E32)</f>
        <v>7.3479999999999999</v>
      </c>
      <c r="F33" s="11">
        <f t="shared" ref="F33:V33" si="8">IF(F32&gt;$E$28,$E$28,F32)</f>
        <v>7.3479999999999999</v>
      </c>
      <c r="G33" s="11">
        <f t="shared" si="8"/>
        <v>7.3479999999999999</v>
      </c>
      <c r="H33" s="11">
        <f t="shared" si="8"/>
        <v>7.3479999999999999</v>
      </c>
      <c r="I33" s="11">
        <f t="shared" si="8"/>
        <v>7.3479999999999999</v>
      </c>
      <c r="J33" s="11">
        <f t="shared" si="8"/>
        <v>7.3479999999999999</v>
      </c>
      <c r="K33" s="11">
        <f t="shared" si="8"/>
        <v>7.3479999999999999</v>
      </c>
      <c r="L33" s="11">
        <f t="shared" si="8"/>
        <v>7.3479999999999999</v>
      </c>
      <c r="M33" s="11">
        <f t="shared" si="8"/>
        <v>7.3479999999999999</v>
      </c>
      <c r="N33" s="11">
        <f t="shared" si="8"/>
        <v>7.3479999999999999</v>
      </c>
      <c r="O33" s="11">
        <f t="shared" si="8"/>
        <v>7.3479999999999999</v>
      </c>
      <c r="P33" s="11">
        <f t="shared" si="8"/>
        <v>7.3479999999999999</v>
      </c>
      <c r="Q33" s="11">
        <f t="shared" si="8"/>
        <v>7.3479999999999999</v>
      </c>
      <c r="R33" s="11">
        <f t="shared" si="8"/>
        <v>7.3479999999999999</v>
      </c>
      <c r="S33" s="11">
        <f t="shared" si="8"/>
        <v>7.3479999999999999</v>
      </c>
      <c r="T33" s="11">
        <f t="shared" si="8"/>
        <v>7.3479999999999999</v>
      </c>
      <c r="U33" s="11">
        <f t="shared" si="8"/>
        <v>7.3479999999999999</v>
      </c>
      <c r="V33" s="11">
        <f t="shared" si="8"/>
        <v>7.3479999999999999</v>
      </c>
      <c r="W33" s="11">
        <f>IF(W32&gt;$E$28,$E$28,W32)</f>
        <v>7.3479999999999999</v>
      </c>
      <c r="X33" s="11">
        <f>IF(X32&gt;$E$28,$E$28,X32)*(4/12)</f>
        <v>2.4493333333333331</v>
      </c>
    </row>
    <row r="34" spans="2:24">
      <c r="B34" s="70" t="s">
        <v>53</v>
      </c>
      <c r="C34" s="9"/>
      <c r="D34" s="11">
        <f>D32-D33</f>
        <v>215.10133333333334</v>
      </c>
      <c r="E34" s="11">
        <f>E32-E33</f>
        <v>207.75333333333333</v>
      </c>
      <c r="F34" s="11">
        <f t="shared" ref="F34:V34" si="9">F32-F33</f>
        <v>200.40533333333332</v>
      </c>
      <c r="G34" s="11">
        <f t="shared" si="9"/>
        <v>193.0573333333333</v>
      </c>
      <c r="H34" s="11">
        <f t="shared" si="9"/>
        <v>185.70933333333329</v>
      </c>
      <c r="I34" s="11">
        <f t="shared" si="9"/>
        <v>178.36133333333328</v>
      </c>
      <c r="J34" s="11">
        <f t="shared" si="9"/>
        <v>171.01333333333326</v>
      </c>
      <c r="K34" s="11">
        <f t="shared" si="9"/>
        <v>163.66533333333325</v>
      </c>
      <c r="L34" s="11">
        <f t="shared" si="9"/>
        <v>156.31733333333324</v>
      </c>
      <c r="M34" s="11">
        <f t="shared" si="9"/>
        <v>148.96933333333322</v>
      </c>
      <c r="N34" s="11">
        <f t="shared" si="9"/>
        <v>141.62133333333321</v>
      </c>
      <c r="O34" s="11">
        <f t="shared" si="9"/>
        <v>134.2733333333332</v>
      </c>
      <c r="P34" s="11">
        <f t="shared" si="9"/>
        <v>126.9253333333332</v>
      </c>
      <c r="Q34" s="11">
        <f t="shared" si="9"/>
        <v>119.5773333333332</v>
      </c>
      <c r="R34" s="11">
        <f t="shared" si="9"/>
        <v>112.2293333333332</v>
      </c>
      <c r="S34" s="11">
        <f t="shared" si="9"/>
        <v>104.8813333333332</v>
      </c>
      <c r="T34" s="11">
        <f t="shared" si="9"/>
        <v>97.533333333333204</v>
      </c>
      <c r="U34" s="11">
        <f t="shared" si="9"/>
        <v>90.185333333333205</v>
      </c>
      <c r="V34" s="11">
        <f t="shared" si="9"/>
        <v>82.837333333333206</v>
      </c>
      <c r="W34" s="11">
        <f>W32-W33</f>
        <v>75.489333333333207</v>
      </c>
      <c r="X34" s="11">
        <f>X32-X33</f>
        <v>73.039999999999878</v>
      </c>
    </row>
    <row r="35" spans="2:24">
      <c r="B35" s="9" t="s">
        <v>36</v>
      </c>
      <c r="C35" s="9"/>
      <c r="D35" s="9"/>
      <c r="E35" s="9"/>
      <c r="F35" s="9"/>
      <c r="G35" s="9"/>
      <c r="H35" s="9"/>
      <c r="I35" s="9"/>
      <c r="J35" s="9"/>
      <c r="K35" s="9"/>
      <c r="L35" s="9"/>
      <c r="M35" s="9"/>
      <c r="N35" s="9"/>
      <c r="O35" s="9"/>
      <c r="P35" s="9"/>
      <c r="Q35" s="9"/>
      <c r="R35" s="9"/>
      <c r="S35" s="9"/>
      <c r="T35" s="9"/>
      <c r="U35" s="9"/>
      <c r="V35" s="9"/>
      <c r="W35" s="9"/>
      <c r="X35" s="9"/>
    </row>
    <row r="36" spans="2:24">
      <c r="B36" s="70" t="s">
        <v>213</v>
      </c>
      <c r="C36" s="9"/>
      <c r="D36" s="11">
        <f>D29</f>
        <v>355</v>
      </c>
      <c r="E36" s="11">
        <f>D38</f>
        <v>342.50400000000002</v>
      </c>
      <c r="F36" s="11">
        <f t="shared" ref="F36:V36" si="10">E38</f>
        <v>323.76</v>
      </c>
      <c r="G36" s="11">
        <f t="shared" si="10"/>
        <v>305.01599999999996</v>
      </c>
      <c r="H36" s="11">
        <f t="shared" si="10"/>
        <v>286.27199999999993</v>
      </c>
      <c r="I36" s="11">
        <f t="shared" si="10"/>
        <v>267.52799999999991</v>
      </c>
      <c r="J36" s="11">
        <f t="shared" si="10"/>
        <v>248.78399999999991</v>
      </c>
      <c r="K36" s="11">
        <f t="shared" si="10"/>
        <v>230.03999999999991</v>
      </c>
      <c r="L36" s="11">
        <f t="shared" si="10"/>
        <v>211.29599999999991</v>
      </c>
      <c r="M36" s="11">
        <f t="shared" si="10"/>
        <v>192.55199999999991</v>
      </c>
      <c r="N36" s="11">
        <f t="shared" si="10"/>
        <v>173.80799999999991</v>
      </c>
      <c r="O36" s="11">
        <f t="shared" si="10"/>
        <v>155.06399999999991</v>
      </c>
      <c r="P36" s="11">
        <f t="shared" si="10"/>
        <v>136.31999999999991</v>
      </c>
      <c r="Q36" s="11">
        <f t="shared" si="10"/>
        <v>117.57599999999991</v>
      </c>
      <c r="R36" s="11">
        <f t="shared" si="10"/>
        <v>98.831999999999908</v>
      </c>
      <c r="S36" s="11">
        <f t="shared" si="10"/>
        <v>80.087999999999909</v>
      </c>
      <c r="T36" s="11">
        <f t="shared" si="10"/>
        <v>61.343999999999909</v>
      </c>
      <c r="U36" s="11">
        <f t="shared" si="10"/>
        <v>42.599999999999909</v>
      </c>
      <c r="V36" s="11">
        <f t="shared" si="10"/>
        <v>23.855999999999909</v>
      </c>
      <c r="W36" s="11">
        <f>V38</f>
        <v>5.1119999999999095</v>
      </c>
      <c r="X36" s="11">
        <f>W38</f>
        <v>0</v>
      </c>
    </row>
    <row r="37" spans="2:24">
      <c r="B37" s="70" t="s">
        <v>27</v>
      </c>
      <c r="C37" s="9"/>
      <c r="D37" s="11">
        <f>IF(D36&gt;$E$29,$E$29,D36)*(8/12)</f>
        <v>12.495999999999999</v>
      </c>
      <c r="E37" s="11">
        <f t="shared" ref="E37:V37" si="11">IF(E36&gt;$E$29,$E$29,E36)</f>
        <v>18.744</v>
      </c>
      <c r="F37" s="11">
        <f t="shared" si="11"/>
        <v>18.744</v>
      </c>
      <c r="G37" s="11">
        <f t="shared" si="11"/>
        <v>18.744</v>
      </c>
      <c r="H37" s="11">
        <f t="shared" si="11"/>
        <v>18.744</v>
      </c>
      <c r="I37" s="11">
        <f t="shared" si="11"/>
        <v>18.744</v>
      </c>
      <c r="J37" s="11">
        <f t="shared" si="11"/>
        <v>18.744</v>
      </c>
      <c r="K37" s="11">
        <f t="shared" si="11"/>
        <v>18.744</v>
      </c>
      <c r="L37" s="11">
        <f t="shared" si="11"/>
        <v>18.744</v>
      </c>
      <c r="M37" s="11">
        <f t="shared" si="11"/>
        <v>18.744</v>
      </c>
      <c r="N37" s="11">
        <f t="shared" si="11"/>
        <v>18.744</v>
      </c>
      <c r="O37" s="11">
        <f t="shared" si="11"/>
        <v>18.744</v>
      </c>
      <c r="P37" s="11">
        <f t="shared" si="11"/>
        <v>18.744</v>
      </c>
      <c r="Q37" s="11">
        <f t="shared" si="11"/>
        <v>18.744</v>
      </c>
      <c r="R37" s="11">
        <f t="shared" si="11"/>
        <v>18.744</v>
      </c>
      <c r="S37" s="11">
        <f t="shared" si="11"/>
        <v>18.744</v>
      </c>
      <c r="T37" s="11">
        <f t="shared" si="11"/>
        <v>18.744</v>
      </c>
      <c r="U37" s="11">
        <f t="shared" si="11"/>
        <v>18.744</v>
      </c>
      <c r="V37" s="11">
        <f t="shared" si="11"/>
        <v>18.744</v>
      </c>
      <c r="W37" s="11">
        <f>IF(W36&gt;$E$29,$E$29,W36)</f>
        <v>5.1119999999999095</v>
      </c>
      <c r="X37" s="11">
        <f>IF(X36&gt;$E$29,$E$29,X36)*(4/12)</f>
        <v>0</v>
      </c>
    </row>
    <row r="38" spans="2:24">
      <c r="B38" s="70" t="s">
        <v>53</v>
      </c>
      <c r="C38" s="9"/>
      <c r="D38" s="11">
        <f>D36-D37</f>
        <v>342.50400000000002</v>
      </c>
      <c r="E38" s="11">
        <f>E36-E37</f>
        <v>323.76</v>
      </c>
      <c r="F38" s="11">
        <f t="shared" ref="F38:V38" si="12">F36-F37</f>
        <v>305.01599999999996</v>
      </c>
      <c r="G38" s="11">
        <f t="shared" si="12"/>
        <v>286.27199999999993</v>
      </c>
      <c r="H38" s="11">
        <f t="shared" si="12"/>
        <v>267.52799999999991</v>
      </c>
      <c r="I38" s="11">
        <f t="shared" si="12"/>
        <v>248.78399999999991</v>
      </c>
      <c r="J38" s="11">
        <f t="shared" si="12"/>
        <v>230.03999999999991</v>
      </c>
      <c r="K38" s="11">
        <f t="shared" si="12"/>
        <v>211.29599999999991</v>
      </c>
      <c r="L38" s="11">
        <f t="shared" si="12"/>
        <v>192.55199999999991</v>
      </c>
      <c r="M38" s="11">
        <f t="shared" si="12"/>
        <v>173.80799999999991</v>
      </c>
      <c r="N38" s="11">
        <f t="shared" si="12"/>
        <v>155.06399999999991</v>
      </c>
      <c r="O38" s="11">
        <f t="shared" si="12"/>
        <v>136.31999999999991</v>
      </c>
      <c r="P38" s="11">
        <f t="shared" si="12"/>
        <v>117.57599999999991</v>
      </c>
      <c r="Q38" s="11">
        <f t="shared" si="12"/>
        <v>98.831999999999908</v>
      </c>
      <c r="R38" s="11">
        <f t="shared" si="12"/>
        <v>80.087999999999909</v>
      </c>
      <c r="S38" s="11">
        <f t="shared" si="12"/>
        <v>61.343999999999909</v>
      </c>
      <c r="T38" s="11">
        <f t="shared" si="12"/>
        <v>42.599999999999909</v>
      </c>
      <c r="U38" s="11">
        <f t="shared" si="12"/>
        <v>23.855999999999909</v>
      </c>
      <c r="V38" s="11">
        <f t="shared" si="12"/>
        <v>5.1119999999999095</v>
      </c>
      <c r="W38" s="11">
        <f>W36-W37</f>
        <v>0</v>
      </c>
      <c r="X38" s="11">
        <f>X36-X37</f>
        <v>0</v>
      </c>
    </row>
    <row r="39" spans="2:24">
      <c r="B39" s="9" t="s">
        <v>214</v>
      </c>
      <c r="C39" s="9"/>
      <c r="D39" s="11">
        <f>D33+D37</f>
        <v>17.394666666666666</v>
      </c>
      <c r="E39" s="11">
        <f t="shared" ref="E39:V39" si="13">E33+E37</f>
        <v>26.091999999999999</v>
      </c>
      <c r="F39" s="11">
        <f t="shared" si="13"/>
        <v>26.091999999999999</v>
      </c>
      <c r="G39" s="11">
        <f t="shared" si="13"/>
        <v>26.091999999999999</v>
      </c>
      <c r="H39" s="11">
        <f t="shared" si="13"/>
        <v>26.091999999999999</v>
      </c>
      <c r="I39" s="11">
        <f t="shared" si="13"/>
        <v>26.091999999999999</v>
      </c>
      <c r="J39" s="11">
        <f t="shared" si="13"/>
        <v>26.091999999999999</v>
      </c>
      <c r="K39" s="11">
        <f t="shared" si="13"/>
        <v>26.091999999999999</v>
      </c>
      <c r="L39" s="11">
        <f t="shared" si="13"/>
        <v>26.091999999999999</v>
      </c>
      <c r="M39" s="11">
        <f t="shared" si="13"/>
        <v>26.091999999999999</v>
      </c>
      <c r="N39" s="11">
        <f t="shared" si="13"/>
        <v>26.091999999999999</v>
      </c>
      <c r="O39" s="11">
        <f t="shared" si="13"/>
        <v>26.091999999999999</v>
      </c>
      <c r="P39" s="11">
        <f t="shared" si="13"/>
        <v>26.091999999999999</v>
      </c>
      <c r="Q39" s="11">
        <f t="shared" si="13"/>
        <v>26.091999999999999</v>
      </c>
      <c r="R39" s="11">
        <f t="shared" si="13"/>
        <v>26.091999999999999</v>
      </c>
      <c r="S39" s="11">
        <f t="shared" si="13"/>
        <v>26.091999999999999</v>
      </c>
      <c r="T39" s="11">
        <f t="shared" si="13"/>
        <v>26.091999999999999</v>
      </c>
      <c r="U39" s="11">
        <f t="shared" si="13"/>
        <v>26.091999999999999</v>
      </c>
      <c r="V39" s="11">
        <f t="shared" si="13"/>
        <v>26.091999999999999</v>
      </c>
      <c r="W39" s="11">
        <f>W33+W37</f>
        <v>12.459999999999908</v>
      </c>
      <c r="X39" s="11">
        <f>X33+X37</f>
        <v>2.4493333333333331</v>
      </c>
    </row>
  </sheetData>
  <pageMargins left="0.75" right="0.75" top="1" bottom="1" header="0.5" footer="0.5"/>
  <pageSetup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sheetPr codeName="Sheet8">
    <tabColor rgb="FFFFC000"/>
  </sheetPr>
  <dimension ref="A1:V20"/>
  <sheetViews>
    <sheetView showGridLines="0" workbookViewId="0">
      <selection activeCell="J25" sqref="J25"/>
    </sheetView>
  </sheetViews>
  <sheetFormatPr defaultRowHeight="13.5"/>
  <cols>
    <col min="1" max="1" width="31" style="4" bestFit="1" customWidth="1"/>
    <col min="2" max="3" width="6.42578125" style="4" bestFit="1" customWidth="1"/>
    <col min="4" max="17" width="7.42578125" style="4" bestFit="1" customWidth="1"/>
    <col min="18" max="21" width="8.42578125" style="4" bestFit="1" customWidth="1"/>
    <col min="22" max="22" width="7.42578125" style="4" bestFit="1" customWidth="1"/>
    <col min="23" max="16384" width="9.140625" style="4"/>
  </cols>
  <sheetData>
    <row r="1" spans="1:22" ht="26.25">
      <c r="A1" s="195" t="s">
        <v>130</v>
      </c>
      <c r="B1" s="196"/>
      <c r="C1" s="196"/>
      <c r="D1" s="196"/>
      <c r="E1" s="196"/>
      <c r="F1" s="196"/>
      <c r="G1" s="196"/>
      <c r="H1" s="197"/>
    </row>
    <row r="2" spans="1:22" ht="15">
      <c r="A2" s="1" t="s">
        <v>131</v>
      </c>
      <c r="B2" s="21" t="s">
        <v>2</v>
      </c>
      <c r="C2" s="21" t="s">
        <v>3</v>
      </c>
      <c r="D2" s="21" t="s">
        <v>4</v>
      </c>
      <c r="E2" s="21" t="s">
        <v>5</v>
      </c>
      <c r="F2" s="21" t="s">
        <v>6</v>
      </c>
      <c r="G2" s="21" t="s">
        <v>7</v>
      </c>
      <c r="H2" s="21" t="s">
        <v>8</v>
      </c>
      <c r="I2" s="21" t="s">
        <v>9</v>
      </c>
      <c r="J2" s="21" t="s">
        <v>10</v>
      </c>
      <c r="K2" s="21" t="s">
        <v>11</v>
      </c>
      <c r="L2" s="21" t="s">
        <v>12</v>
      </c>
      <c r="M2" s="21" t="s">
        <v>13</v>
      </c>
      <c r="N2" s="21" t="s">
        <v>14</v>
      </c>
      <c r="O2" s="21" t="s">
        <v>15</v>
      </c>
      <c r="P2" s="21" t="s">
        <v>16</v>
      </c>
      <c r="Q2" s="21" t="s">
        <v>17</v>
      </c>
      <c r="R2" s="21" t="s">
        <v>18</v>
      </c>
      <c r="S2" s="21" t="s">
        <v>19</v>
      </c>
      <c r="T2" s="21" t="s">
        <v>20</v>
      </c>
      <c r="U2" s="21" t="s">
        <v>21</v>
      </c>
      <c r="V2" s="21" t="s">
        <v>234</v>
      </c>
    </row>
    <row r="3" spans="1:22">
      <c r="A3" s="2" t="s">
        <v>132</v>
      </c>
      <c r="B3" s="2">
        <f>'P&amp;L-IL'!D36</f>
        <v>181.40419454761903</v>
      </c>
      <c r="C3" s="2">
        <f>'P&amp;L-IL'!E36</f>
        <v>400.82495521428575</v>
      </c>
      <c r="D3" s="2">
        <f>'P&amp;L-IL'!F36</f>
        <v>496.84821860714294</v>
      </c>
      <c r="E3" s="2">
        <f>'P&amp;L-IL'!G36</f>
        <v>500.63885146428584</v>
      </c>
      <c r="F3" s="2">
        <f>'P&amp;L-IL'!H36</f>
        <v>503.6020965357144</v>
      </c>
      <c r="G3" s="2">
        <f>'P&amp;L-IL'!I36</f>
        <v>505.60413968928583</v>
      </c>
      <c r="H3" s="2">
        <f>'P&amp;L-IL'!J36</f>
        <v>506.48649533767855</v>
      </c>
      <c r="I3" s="2">
        <f>'P&amp;L-IL'!K36</f>
        <v>499.00408467877674</v>
      </c>
      <c r="J3" s="2">
        <f>'P&amp;L-IL'!L36</f>
        <v>486.46237100698704</v>
      </c>
      <c r="K3" s="2">
        <f>'P&amp;L-IL'!M36</f>
        <v>472.12479323187642</v>
      </c>
      <c r="L3" s="2">
        <f>'P&amp;L-IL'!N36</f>
        <v>455.67598707615264</v>
      </c>
      <c r="M3" s="2">
        <f>'P&amp;L-IL'!O36</f>
        <v>436.74052429541513</v>
      </c>
      <c r="N3" s="2">
        <f>'P&amp;L-IL'!P36</f>
        <v>414.87113217527036</v>
      </c>
      <c r="O3" s="2">
        <f>'P&amp;L-IL'!Q36</f>
        <v>389.53457672700631</v>
      </c>
      <c r="P3" s="2">
        <f>'P&amp;L-IL'!R36</f>
        <v>360.09474412995991</v>
      </c>
      <c r="Q3" s="2">
        <f>'P&amp;L-IL'!S36</f>
        <v>325.79236205060079</v>
      </c>
      <c r="R3" s="2">
        <f>'P&amp;L-IL'!T36</f>
        <v>285.72069098342149</v>
      </c>
      <c r="S3" s="2">
        <f>'P&amp;L-IL'!U36</f>
        <v>238.79638199527102</v>
      </c>
      <c r="T3" s="2">
        <f>'P&amp;L-IL'!V36</f>
        <v>183.72453675889017</v>
      </c>
      <c r="U3" s="2">
        <f>'P&amp;L-IL'!W36</f>
        <v>132.74071261721679</v>
      </c>
      <c r="V3" s="2">
        <f>'P&amp;L-IL'!X36</f>
        <v>-11.122649501917772</v>
      </c>
    </row>
    <row r="4" spans="1:22" ht="15">
      <c r="A4" s="1" t="s">
        <v>133</v>
      </c>
      <c r="B4" s="2"/>
      <c r="C4" s="2"/>
      <c r="D4" s="2"/>
      <c r="E4" s="2"/>
      <c r="F4" s="2"/>
      <c r="G4" s="2"/>
      <c r="H4" s="2"/>
      <c r="I4" s="2"/>
      <c r="J4" s="2"/>
      <c r="K4" s="2"/>
      <c r="L4" s="2"/>
      <c r="M4" s="2"/>
      <c r="N4" s="2"/>
      <c r="O4" s="2"/>
      <c r="P4" s="2"/>
      <c r="Q4" s="2"/>
      <c r="R4" s="2"/>
      <c r="S4" s="2"/>
      <c r="T4" s="2"/>
      <c r="U4" s="2"/>
      <c r="V4" s="2"/>
    </row>
    <row r="5" spans="1:22" s="22" customFormat="1">
      <c r="A5" s="11" t="s">
        <v>50</v>
      </c>
      <c r="B5" s="11">
        <f>'Depreciation-IL'!D39</f>
        <v>17.394666666666666</v>
      </c>
      <c r="C5" s="11">
        <f>'Depreciation-IL'!E39</f>
        <v>26.091999999999999</v>
      </c>
      <c r="D5" s="11">
        <f>'Depreciation-IL'!F39</f>
        <v>26.091999999999999</v>
      </c>
      <c r="E5" s="11">
        <f>'Depreciation-IL'!G39</f>
        <v>26.091999999999999</v>
      </c>
      <c r="F5" s="11">
        <f>'Depreciation-IL'!H39</f>
        <v>26.091999999999999</v>
      </c>
      <c r="G5" s="11">
        <f>'Depreciation-IL'!I39</f>
        <v>26.091999999999999</v>
      </c>
      <c r="H5" s="11">
        <f>'Depreciation-IL'!J39</f>
        <v>26.091999999999999</v>
      </c>
      <c r="I5" s="11">
        <f>'Depreciation-IL'!K39</f>
        <v>26.091999999999999</v>
      </c>
      <c r="J5" s="11">
        <f>'Depreciation-IL'!L39</f>
        <v>26.091999999999999</v>
      </c>
      <c r="K5" s="11">
        <f>'Depreciation-IL'!M39</f>
        <v>26.091999999999999</v>
      </c>
      <c r="L5" s="11">
        <f>'Depreciation-IL'!N39</f>
        <v>26.091999999999999</v>
      </c>
      <c r="M5" s="11">
        <f>'Depreciation-IL'!O39</f>
        <v>26.091999999999999</v>
      </c>
      <c r="N5" s="11">
        <f>'Depreciation-IL'!P39</f>
        <v>26.091999999999999</v>
      </c>
      <c r="O5" s="11">
        <f>'Depreciation-IL'!Q39</f>
        <v>26.091999999999999</v>
      </c>
      <c r="P5" s="11">
        <f>'Depreciation-IL'!R39</f>
        <v>26.091999999999999</v>
      </c>
      <c r="Q5" s="11">
        <f>'Depreciation-IL'!S39</f>
        <v>26.091999999999999</v>
      </c>
      <c r="R5" s="11">
        <f>'Depreciation-IL'!T39</f>
        <v>26.091999999999999</v>
      </c>
      <c r="S5" s="11">
        <f>'Depreciation-IL'!U39</f>
        <v>26.091999999999999</v>
      </c>
      <c r="T5" s="11">
        <f>'Depreciation-IL'!V39</f>
        <v>26.091999999999999</v>
      </c>
      <c r="U5" s="11">
        <f>'Depreciation-IL'!W39</f>
        <v>12.459999999999908</v>
      </c>
      <c r="V5" s="11">
        <f>'Depreciation-IL'!X39</f>
        <v>2.4493333333333331</v>
      </c>
    </row>
    <row r="6" spans="1:22" ht="15">
      <c r="A6" s="1" t="s">
        <v>30</v>
      </c>
      <c r="B6" s="2"/>
      <c r="C6" s="2"/>
      <c r="D6" s="2"/>
      <c r="E6" s="2"/>
      <c r="F6" s="2"/>
      <c r="G6" s="2"/>
      <c r="H6" s="2"/>
      <c r="I6" s="2"/>
      <c r="J6" s="2"/>
      <c r="K6" s="2"/>
      <c r="L6" s="2"/>
      <c r="M6" s="2"/>
      <c r="N6" s="2"/>
      <c r="O6" s="2"/>
      <c r="P6" s="2"/>
      <c r="Q6" s="2"/>
      <c r="R6" s="2"/>
      <c r="S6" s="2"/>
      <c r="T6" s="2"/>
      <c r="U6" s="2"/>
      <c r="V6" s="2"/>
    </row>
    <row r="7" spans="1:22">
      <c r="A7" s="2" t="s">
        <v>31</v>
      </c>
      <c r="B7" s="2">
        <f>'Depreciation-IL'!D25</f>
        <v>75.25</v>
      </c>
      <c r="C7" s="2">
        <f>'Depreciation-IL'!E25</f>
        <v>65.0625</v>
      </c>
      <c r="D7" s="2">
        <f>'Depreciation-IL'!F25</f>
        <v>56.293125000000003</v>
      </c>
      <c r="E7" s="2">
        <f>'Depreciation-IL'!G25</f>
        <v>48.740156249999998</v>
      </c>
      <c r="F7" s="2">
        <f>'Depreciation-IL'!H25</f>
        <v>42.231032812499997</v>
      </c>
      <c r="G7" s="2">
        <f>'Depreciation-IL'!I25</f>
        <v>36.618087890624999</v>
      </c>
      <c r="H7" s="2">
        <f>'Depreciation-IL'!J25</f>
        <v>31.774913707031253</v>
      </c>
      <c r="I7" s="2">
        <f>'Depreciation-IL'!K25</f>
        <v>27.593261750976563</v>
      </c>
      <c r="J7" s="2">
        <f>'Depreciation-IL'!L25</f>
        <v>23.98039907833008</v>
      </c>
      <c r="K7" s="2">
        <f>'Depreciation-IL'!M25</f>
        <v>20.856853147580566</v>
      </c>
      <c r="L7" s="2">
        <f>'Depreciation-IL'!N25</f>
        <v>18.154487713343482</v>
      </c>
      <c r="M7" s="2">
        <f>'Depreciation-IL'!O25</f>
        <v>15.81486084045196</v>
      </c>
      <c r="N7" s="2">
        <f>'Depreciation-IL'!P25</f>
        <v>13.787823370083165</v>
      </c>
      <c r="O7" s="2">
        <f>'Depreciation-IL'!Q25</f>
        <v>12.030322354699791</v>
      </c>
      <c r="P7" s="2">
        <f>'Depreciation-IL'!R25</f>
        <v>10.505379242611014</v>
      </c>
      <c r="Q7" s="2">
        <f>'Depreciation-IL'!S25</f>
        <v>9.1812170732239302</v>
      </c>
      <c r="R7" s="2">
        <f>'Depreciation-IL'!T25</f>
        <v>8.0305147575444558</v>
      </c>
      <c r="S7" s="2">
        <f>'Depreciation-IL'!U25</f>
        <v>7.0297697646864901</v>
      </c>
      <c r="T7" s="2">
        <f>'Depreciation-IL'!V25</f>
        <v>6.1587532986798488</v>
      </c>
      <c r="U7" s="2">
        <f>'Depreciation-IL'!W25</f>
        <v>5.4000444027045704</v>
      </c>
      <c r="V7" s="2">
        <f>'Depreciation-IL'!X25</f>
        <v>4.7386314312429141</v>
      </c>
    </row>
    <row r="8" spans="1:22">
      <c r="A8" s="2"/>
      <c r="B8" s="2"/>
      <c r="C8" s="2"/>
      <c r="D8" s="2"/>
      <c r="E8" s="2"/>
      <c r="F8" s="2"/>
      <c r="G8" s="2"/>
      <c r="H8" s="2"/>
      <c r="I8" s="2"/>
      <c r="J8" s="2"/>
      <c r="K8" s="2"/>
      <c r="L8" s="2"/>
      <c r="M8" s="2"/>
      <c r="N8" s="2"/>
      <c r="O8" s="2"/>
      <c r="P8" s="2"/>
      <c r="Q8" s="2"/>
      <c r="R8" s="2"/>
      <c r="S8" s="2"/>
      <c r="T8" s="2"/>
      <c r="U8" s="2"/>
      <c r="V8" s="2"/>
    </row>
    <row r="9" spans="1:22">
      <c r="A9" s="2" t="s">
        <v>134</v>
      </c>
      <c r="B9" s="2">
        <f>B3+B5-B7</f>
        <v>123.54886121428569</v>
      </c>
      <c r="C9" s="2">
        <f t="shared" ref="C9:U9" si="0">C3+C5-C7</f>
        <v>361.85445521428574</v>
      </c>
      <c r="D9" s="2">
        <f t="shared" si="0"/>
        <v>466.64709360714289</v>
      </c>
      <c r="E9" s="2">
        <f t="shared" si="0"/>
        <v>477.99069521428584</v>
      </c>
      <c r="F9" s="2">
        <f t="shared" si="0"/>
        <v>487.46306372321436</v>
      </c>
      <c r="G9" s="2">
        <f t="shared" si="0"/>
        <v>495.07805179866079</v>
      </c>
      <c r="H9" s="2">
        <f t="shared" si="0"/>
        <v>500.80358163064727</v>
      </c>
      <c r="I9" s="2">
        <f t="shared" si="0"/>
        <v>497.50282292780014</v>
      </c>
      <c r="J9" s="2">
        <f t="shared" si="0"/>
        <v>488.57397192865693</v>
      </c>
      <c r="K9" s="2">
        <f t="shared" si="0"/>
        <v>477.35994008429583</v>
      </c>
      <c r="L9" s="2">
        <f t="shared" si="0"/>
        <v>463.61349936280914</v>
      </c>
      <c r="M9" s="2">
        <f t="shared" si="0"/>
        <v>447.01766345496316</v>
      </c>
      <c r="N9" s="2">
        <f t="shared" si="0"/>
        <v>427.17530880518717</v>
      </c>
      <c r="O9" s="2">
        <f t="shared" si="0"/>
        <v>403.59625437230648</v>
      </c>
      <c r="P9" s="2">
        <f t="shared" si="0"/>
        <v>375.68136488734888</v>
      </c>
      <c r="Q9" s="2">
        <f t="shared" si="0"/>
        <v>342.70314497737684</v>
      </c>
      <c r="R9" s="2">
        <f t="shared" si="0"/>
        <v>303.78217622587704</v>
      </c>
      <c r="S9" s="2">
        <f t="shared" si="0"/>
        <v>257.85861223058453</v>
      </c>
      <c r="T9" s="2">
        <f t="shared" si="0"/>
        <v>203.65778346021031</v>
      </c>
      <c r="U9" s="2">
        <f t="shared" si="0"/>
        <v>139.80066821451214</v>
      </c>
      <c r="V9" s="2">
        <f>V3+V5-V7</f>
        <v>-13.411947599827354</v>
      </c>
    </row>
    <row r="10" spans="1:22" s="22" customFormat="1">
      <c r="A10" s="11" t="s">
        <v>139</v>
      </c>
      <c r="B10" s="11">
        <f>B9</f>
        <v>123.54886121428569</v>
      </c>
      <c r="C10" s="11">
        <f>B10+C9</f>
        <v>485.40331642857143</v>
      </c>
      <c r="D10" s="11">
        <f t="shared" ref="D10:V10" si="1">C10+D9</f>
        <v>952.05041003571432</v>
      </c>
      <c r="E10" s="11">
        <f t="shared" si="1"/>
        <v>1430.0411052500001</v>
      </c>
      <c r="F10" s="11">
        <f t="shared" si="1"/>
        <v>1917.5041689732145</v>
      </c>
      <c r="G10" s="11">
        <f t="shared" si="1"/>
        <v>2412.5822207718752</v>
      </c>
      <c r="H10" s="11">
        <f t="shared" si="1"/>
        <v>2913.3858024025226</v>
      </c>
      <c r="I10" s="11">
        <f t="shared" si="1"/>
        <v>3410.8886253303226</v>
      </c>
      <c r="J10" s="11">
        <f t="shared" si="1"/>
        <v>3899.4625972589797</v>
      </c>
      <c r="K10" s="11">
        <f t="shared" si="1"/>
        <v>4376.8225373432751</v>
      </c>
      <c r="L10" s="11">
        <f t="shared" si="1"/>
        <v>4840.4360367060845</v>
      </c>
      <c r="M10" s="11">
        <f t="shared" si="1"/>
        <v>5287.4537001610479</v>
      </c>
      <c r="N10" s="11">
        <f t="shared" si="1"/>
        <v>5714.6290089662352</v>
      </c>
      <c r="O10" s="11">
        <f t="shared" si="1"/>
        <v>6118.2252633385415</v>
      </c>
      <c r="P10" s="11">
        <f t="shared" si="1"/>
        <v>6493.90662822589</v>
      </c>
      <c r="Q10" s="11">
        <f t="shared" si="1"/>
        <v>6836.6097732032667</v>
      </c>
      <c r="R10" s="11">
        <f t="shared" si="1"/>
        <v>7140.391949429144</v>
      </c>
      <c r="S10" s="11">
        <f t="shared" si="1"/>
        <v>7398.2505616597282</v>
      </c>
      <c r="T10" s="11">
        <f t="shared" si="1"/>
        <v>7601.9083451199385</v>
      </c>
      <c r="U10" s="11">
        <f t="shared" si="1"/>
        <v>7741.7090133344509</v>
      </c>
      <c r="V10" s="11">
        <f t="shared" si="1"/>
        <v>7728.2970657346232</v>
      </c>
    </row>
    <row r="11" spans="1:22">
      <c r="A11" s="2"/>
      <c r="B11" s="2"/>
      <c r="C11" s="2"/>
      <c r="D11" s="2"/>
      <c r="E11" s="2"/>
      <c r="F11" s="2"/>
      <c r="G11" s="2"/>
      <c r="H11" s="2"/>
      <c r="I11" s="2"/>
      <c r="J11" s="2"/>
      <c r="K11" s="2"/>
      <c r="L11" s="2"/>
      <c r="M11" s="2"/>
      <c r="N11" s="2"/>
      <c r="O11" s="2"/>
      <c r="P11" s="2"/>
      <c r="Q11" s="2"/>
      <c r="R11" s="2"/>
      <c r="S11" s="2"/>
      <c r="T11" s="2"/>
      <c r="U11" s="2"/>
      <c r="V11" s="2"/>
    </row>
    <row r="12" spans="1:22">
      <c r="A12" s="2" t="s">
        <v>135</v>
      </c>
      <c r="B12" s="2">
        <f>IF(B10&lt;0,0,'Assum-IL'!$C$46*B9)</f>
        <v>41.994257926735706</v>
      </c>
      <c r="C12" s="2">
        <f>IF(C10&lt;0,0,'Assum-IL'!$C$46*C9)</f>
        <v>122.99432932733572</v>
      </c>
      <c r="D12" s="2">
        <f>IF(D10&lt;0,0,'Assum-IL'!$C$46*D9)</f>
        <v>158.61334711706786</v>
      </c>
      <c r="E12" s="2">
        <f>IF(E10&lt;0,0,'Assum-IL'!$C$46*E9)</f>
        <v>162.46903730333574</v>
      </c>
      <c r="F12" s="2">
        <f>IF(F10&lt;0,0,'Assum-IL'!$C$46*F9)</f>
        <v>165.68869535952055</v>
      </c>
      <c r="G12" s="2">
        <f>IF(G10&lt;0,0,'Assum-IL'!$C$46*G9)</f>
        <v>168.27702980636479</v>
      </c>
      <c r="H12" s="2">
        <f>IF(H10&lt;0,0,'Assum-IL'!$C$46*H9)</f>
        <v>170.22313739625699</v>
      </c>
      <c r="I12" s="2">
        <f>IF(I10&lt;0,0,'Assum-IL'!$C$46*I9)</f>
        <v>169.10120951315926</v>
      </c>
      <c r="J12" s="2">
        <f>IF(J10&lt;0,0,'Assum-IL'!$C$46*J9)</f>
        <v>166.06629305855049</v>
      </c>
      <c r="K12" s="2">
        <f>IF(K10&lt;0,0,'Assum-IL'!$C$46*K9)</f>
        <v>162.25464363465215</v>
      </c>
      <c r="L12" s="2">
        <f>IF(L10&lt;0,0,'Assum-IL'!$C$46*L9)</f>
        <v>157.58222843341881</v>
      </c>
      <c r="M12" s="2">
        <f>IF(M10&lt;0,0,'Assum-IL'!$C$46*M9)</f>
        <v>151.94130380834196</v>
      </c>
      <c r="N12" s="2">
        <f>IF(N10&lt;0,0,'Assum-IL'!$C$46*N9)</f>
        <v>145.1968874628831</v>
      </c>
      <c r="O12" s="2">
        <f>IF(O10&lt;0,0,'Assum-IL'!$C$46*O9)</f>
        <v>137.18236686114696</v>
      </c>
      <c r="P12" s="2">
        <f>IF(P10&lt;0,0,'Assum-IL'!$C$46*P9)</f>
        <v>127.69409592520988</v>
      </c>
      <c r="Q12" s="2">
        <f>IF(Q10&lt;0,0,'Assum-IL'!$C$46*Q9)</f>
        <v>116.48479897781039</v>
      </c>
      <c r="R12" s="2">
        <f>IF(R10&lt;0,0,'Assum-IL'!$C$46*R9)</f>
        <v>103.2555616991756</v>
      </c>
      <c r="S12" s="2">
        <f>IF(S10&lt;0,0,'Assum-IL'!$C$46*S9)</f>
        <v>87.646142297175672</v>
      </c>
      <c r="T12" s="2">
        <f>IF(T10&lt;0,0,'Assum-IL'!$C$46*T9)</f>
        <v>69.223280598125484</v>
      </c>
      <c r="U12" s="2">
        <f>IF(U10&lt;0,0,'Assum-IL'!$C$46*U9)</f>
        <v>47.518247126112676</v>
      </c>
      <c r="V12" s="2">
        <f>IF(V10&lt;0,0,'Assum-IL'!$C$46*V9)</f>
        <v>-4.5587209891813174</v>
      </c>
    </row>
    <row r="13" spans="1:22">
      <c r="A13" s="2" t="s">
        <v>136</v>
      </c>
      <c r="B13" s="2">
        <f>'Assum-IL'!$C$47*B3</f>
        <v>20.553095242245234</v>
      </c>
      <c r="C13" s="2">
        <f>'Assum-IL'!$C$47*C3</f>
        <v>45.413467425778578</v>
      </c>
      <c r="D13" s="2">
        <f>'Assum-IL'!$C$47*D3</f>
        <v>56.292903168189291</v>
      </c>
      <c r="E13" s="2">
        <f>'Assum-IL'!$C$47*E3</f>
        <v>56.722381870903583</v>
      </c>
      <c r="F13" s="2">
        <f>'Assum-IL'!$C$47*F3</f>
        <v>57.058117537496443</v>
      </c>
      <c r="G13" s="2">
        <f>'Assum-IL'!$C$47*G3</f>
        <v>57.284949026796085</v>
      </c>
      <c r="H13" s="2">
        <f>'Assum-IL'!$C$47*H3</f>
        <v>57.384919921758978</v>
      </c>
      <c r="I13" s="2">
        <f>'Assum-IL'!$C$47*I3</f>
        <v>56.537162794105406</v>
      </c>
      <c r="J13" s="2">
        <f>'Assum-IL'!$C$47*J3</f>
        <v>55.11618663509163</v>
      </c>
      <c r="K13" s="2">
        <f>'Assum-IL'!$C$47*K3</f>
        <v>53.491739073171601</v>
      </c>
      <c r="L13" s="2">
        <f>'Assum-IL'!$C$47*L3</f>
        <v>51.628089335728092</v>
      </c>
      <c r="M13" s="2">
        <f>'Assum-IL'!$C$47*M3</f>
        <v>49.482701402670536</v>
      </c>
      <c r="N13" s="2">
        <f>'Assum-IL'!$C$47*N3</f>
        <v>47.004899275458129</v>
      </c>
      <c r="O13" s="2">
        <f>'Assum-IL'!$C$47*O3</f>
        <v>44.134267543169813</v>
      </c>
      <c r="P13" s="2">
        <f>'Assum-IL'!$C$47*P3</f>
        <v>40.798734509924458</v>
      </c>
      <c r="Q13" s="2">
        <f>'Assum-IL'!$C$47*Q3</f>
        <v>36.912274620333065</v>
      </c>
      <c r="R13" s="2">
        <f>'Assum-IL'!$C$47*R3</f>
        <v>32.372154288421655</v>
      </c>
      <c r="S13" s="2">
        <f>'Assum-IL'!$C$47*S3</f>
        <v>27.055630080064205</v>
      </c>
      <c r="T13" s="2">
        <f>'Assum-IL'!$C$47*T3</f>
        <v>20.815990014782255</v>
      </c>
      <c r="U13" s="2">
        <f>'Assum-IL'!$C$47*U3</f>
        <v>15.039522739530662</v>
      </c>
      <c r="V13" s="2">
        <f>'Assum-IL'!$C$47*V3</f>
        <v>-1.2601961885672837</v>
      </c>
    </row>
    <row r="14" spans="1:22">
      <c r="A14" s="2"/>
      <c r="B14" s="2"/>
      <c r="C14" s="2"/>
      <c r="D14" s="2"/>
      <c r="E14" s="2"/>
      <c r="F14" s="2"/>
      <c r="G14" s="2"/>
      <c r="H14" s="2"/>
      <c r="I14" s="2"/>
      <c r="J14" s="2"/>
      <c r="K14" s="2"/>
      <c r="L14" s="2"/>
      <c r="M14" s="2"/>
      <c r="N14" s="2"/>
      <c r="O14" s="2"/>
      <c r="P14" s="2"/>
      <c r="Q14" s="2"/>
      <c r="R14" s="2"/>
      <c r="S14" s="2"/>
      <c r="T14" s="2"/>
      <c r="U14" s="2"/>
      <c r="V14" s="2"/>
    </row>
    <row r="15" spans="1:22">
      <c r="A15" s="23" t="s">
        <v>137</v>
      </c>
      <c r="B15" s="2">
        <f>+IF(B12&gt;B13,B12,B13)</f>
        <v>41.994257926735706</v>
      </c>
      <c r="C15" s="2">
        <f t="shared" ref="C15:U15" si="2">+IF(C12&gt;C13,C12,C13)</f>
        <v>122.99432932733572</v>
      </c>
      <c r="D15" s="2">
        <f t="shared" si="2"/>
        <v>158.61334711706786</v>
      </c>
      <c r="E15" s="2">
        <f t="shared" si="2"/>
        <v>162.46903730333574</v>
      </c>
      <c r="F15" s="2">
        <f t="shared" si="2"/>
        <v>165.68869535952055</v>
      </c>
      <c r="G15" s="2">
        <f t="shared" si="2"/>
        <v>168.27702980636479</v>
      </c>
      <c r="H15" s="2">
        <f t="shared" si="2"/>
        <v>170.22313739625699</v>
      </c>
      <c r="I15" s="2">
        <f t="shared" si="2"/>
        <v>169.10120951315926</v>
      </c>
      <c r="J15" s="2">
        <f t="shared" si="2"/>
        <v>166.06629305855049</v>
      </c>
      <c r="K15" s="2">
        <f t="shared" si="2"/>
        <v>162.25464363465215</v>
      </c>
      <c r="L15" s="2">
        <f t="shared" si="2"/>
        <v>157.58222843341881</v>
      </c>
      <c r="M15" s="2">
        <f t="shared" si="2"/>
        <v>151.94130380834196</v>
      </c>
      <c r="N15" s="2">
        <f t="shared" si="2"/>
        <v>145.1968874628831</v>
      </c>
      <c r="O15" s="2">
        <f t="shared" si="2"/>
        <v>137.18236686114696</v>
      </c>
      <c r="P15" s="2">
        <f t="shared" si="2"/>
        <v>127.69409592520988</v>
      </c>
      <c r="Q15" s="2">
        <f t="shared" si="2"/>
        <v>116.48479897781039</v>
      </c>
      <c r="R15" s="2">
        <f t="shared" si="2"/>
        <v>103.2555616991756</v>
      </c>
      <c r="S15" s="2">
        <f t="shared" si="2"/>
        <v>87.646142297175672</v>
      </c>
      <c r="T15" s="2">
        <f t="shared" si="2"/>
        <v>69.223280598125484</v>
      </c>
      <c r="U15" s="2">
        <f t="shared" si="2"/>
        <v>47.518247126112676</v>
      </c>
      <c r="V15" s="2">
        <f>+IF(V12&gt;V13,V12,V13)</f>
        <v>-1.2601961885672837</v>
      </c>
    </row>
    <row r="16" spans="1:22">
      <c r="A16" s="2" t="s">
        <v>138</v>
      </c>
      <c r="B16" s="2">
        <f>+IF(B15&lt;0,0,B15)</f>
        <v>41.994257926735706</v>
      </c>
      <c r="C16" s="2">
        <f t="shared" ref="C16:U16" si="3">+IF(C15&lt;0,0,C15)</f>
        <v>122.99432932733572</v>
      </c>
      <c r="D16" s="2">
        <f t="shared" si="3"/>
        <v>158.61334711706786</v>
      </c>
      <c r="E16" s="2">
        <f t="shared" si="3"/>
        <v>162.46903730333574</v>
      </c>
      <c r="F16" s="2">
        <f t="shared" si="3"/>
        <v>165.68869535952055</v>
      </c>
      <c r="G16" s="2">
        <f t="shared" si="3"/>
        <v>168.27702980636479</v>
      </c>
      <c r="H16" s="2">
        <f t="shared" si="3"/>
        <v>170.22313739625699</v>
      </c>
      <c r="I16" s="2">
        <f t="shared" si="3"/>
        <v>169.10120951315926</v>
      </c>
      <c r="J16" s="2">
        <f t="shared" si="3"/>
        <v>166.06629305855049</v>
      </c>
      <c r="K16" s="2">
        <f t="shared" si="3"/>
        <v>162.25464363465215</v>
      </c>
      <c r="L16" s="2">
        <f t="shared" si="3"/>
        <v>157.58222843341881</v>
      </c>
      <c r="M16" s="2">
        <f t="shared" si="3"/>
        <v>151.94130380834196</v>
      </c>
      <c r="N16" s="2">
        <f t="shared" si="3"/>
        <v>145.1968874628831</v>
      </c>
      <c r="O16" s="2">
        <f t="shared" si="3"/>
        <v>137.18236686114696</v>
      </c>
      <c r="P16" s="2">
        <f t="shared" si="3"/>
        <v>127.69409592520988</v>
      </c>
      <c r="Q16" s="2">
        <f t="shared" si="3"/>
        <v>116.48479897781039</v>
      </c>
      <c r="R16" s="2">
        <f t="shared" si="3"/>
        <v>103.2555616991756</v>
      </c>
      <c r="S16" s="2">
        <f t="shared" si="3"/>
        <v>87.646142297175672</v>
      </c>
      <c r="T16" s="2">
        <f t="shared" si="3"/>
        <v>69.223280598125484</v>
      </c>
      <c r="U16" s="2">
        <f t="shared" si="3"/>
        <v>47.518247126112676</v>
      </c>
      <c r="V16" s="2">
        <f>+IF(V15&lt;0,0,V15)</f>
        <v>0</v>
      </c>
    </row>
    <row r="20" spans="1:1" ht="15">
      <c r="A20" s="5"/>
    </row>
  </sheetData>
  <mergeCells count="1">
    <mergeCell ref="A1:H1"/>
  </mergeCells>
  <phoneticPr fontId="0"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sheetPr codeName="Sheet14">
    <tabColor rgb="FFFFC000"/>
    <pageSetUpPr fitToPage="1"/>
  </sheetPr>
  <dimension ref="A1:BB43"/>
  <sheetViews>
    <sheetView showGridLines="0" zoomScale="80" zoomScaleNormal="80" workbookViewId="0">
      <pane xSplit="3" ySplit="3" topLeftCell="D4" activePane="bottomRight" state="frozen"/>
      <selection activeCell="G25" sqref="G25"/>
      <selection pane="topRight" activeCell="G25" sqref="G25"/>
      <selection pane="bottomLeft" activeCell="G25" sqref="G25"/>
      <selection pane="bottomRight" activeCell="E5" sqref="E5"/>
    </sheetView>
  </sheetViews>
  <sheetFormatPr defaultRowHeight="13.5"/>
  <cols>
    <col min="1" max="1" width="33.140625" style="3" bestFit="1" customWidth="1"/>
    <col min="2" max="2" width="13.7109375" style="3" customWidth="1"/>
    <col min="3" max="3" width="10.140625" style="3" customWidth="1"/>
    <col min="4" max="4" width="9.85546875" style="3" bestFit="1" customWidth="1"/>
    <col min="5" max="24" width="10.85546875" style="3" bestFit="1" customWidth="1"/>
    <col min="25" max="16384" width="9.140625" style="3"/>
  </cols>
  <sheetData>
    <row r="1" spans="1:24" ht="15.75">
      <c r="A1" s="24" t="s">
        <v>110</v>
      </c>
      <c r="B1" s="25"/>
      <c r="C1" s="25"/>
      <c r="D1" s="25"/>
      <c r="E1" s="25"/>
      <c r="F1" s="25"/>
    </row>
    <row r="2" spans="1:24">
      <c r="C2" s="30"/>
      <c r="D2" s="30"/>
      <c r="E2" s="30"/>
      <c r="F2" s="30"/>
    </row>
    <row r="3" spans="1:24">
      <c r="A3" s="80" t="s">
        <v>22</v>
      </c>
      <c r="B3" s="31" t="s">
        <v>105</v>
      </c>
      <c r="C3" s="31"/>
      <c r="D3" s="81" t="s">
        <v>2</v>
      </c>
      <c r="E3" s="82" t="s">
        <v>3</v>
      </c>
      <c r="F3" s="82" t="s">
        <v>4</v>
      </c>
      <c r="G3" s="82" t="s">
        <v>5</v>
      </c>
      <c r="H3" s="82" t="s">
        <v>6</v>
      </c>
      <c r="I3" s="82" t="s">
        <v>7</v>
      </c>
      <c r="J3" s="82" t="s">
        <v>8</v>
      </c>
      <c r="K3" s="82" t="s">
        <v>9</v>
      </c>
      <c r="L3" s="82" t="s">
        <v>10</v>
      </c>
      <c r="M3" s="82" t="s">
        <v>11</v>
      </c>
      <c r="N3" s="82" t="s">
        <v>12</v>
      </c>
      <c r="O3" s="82" t="s">
        <v>13</v>
      </c>
      <c r="P3" s="82" t="s">
        <v>14</v>
      </c>
      <c r="Q3" s="82" t="s">
        <v>15</v>
      </c>
      <c r="R3" s="82" t="s">
        <v>16</v>
      </c>
      <c r="S3" s="82" t="s">
        <v>17</v>
      </c>
      <c r="T3" s="82" t="s">
        <v>18</v>
      </c>
      <c r="U3" s="82" t="s">
        <v>19</v>
      </c>
      <c r="V3" s="82" t="s">
        <v>20</v>
      </c>
      <c r="W3" s="82" t="s">
        <v>21</v>
      </c>
      <c r="X3" s="81" t="s">
        <v>234</v>
      </c>
    </row>
    <row r="4" spans="1:24">
      <c r="A4" s="32" t="s">
        <v>89</v>
      </c>
      <c r="B4" s="31"/>
      <c r="C4" s="32"/>
      <c r="D4" s="33">
        <f>'Assum-IL'!$C$17*(8/12)*(1+'Sensitivity Analysis'!$D$12)</f>
        <v>8000000</v>
      </c>
      <c r="E4" s="33">
        <f>'Assum-IL'!$C$17*(1+'Sensitivity Analysis'!$D$12)</f>
        <v>12000000</v>
      </c>
      <c r="F4" s="33">
        <f>E4</f>
        <v>12000000</v>
      </c>
      <c r="G4" s="33">
        <f t="shared" ref="G4:W5" si="0">F4</f>
        <v>12000000</v>
      </c>
      <c r="H4" s="33">
        <f t="shared" si="0"/>
        <v>12000000</v>
      </c>
      <c r="I4" s="33">
        <f t="shared" si="0"/>
        <v>12000000</v>
      </c>
      <c r="J4" s="33">
        <f t="shared" si="0"/>
        <v>12000000</v>
      </c>
      <c r="K4" s="33">
        <f t="shared" si="0"/>
        <v>12000000</v>
      </c>
      <c r="L4" s="33">
        <f t="shared" si="0"/>
        <v>12000000</v>
      </c>
      <c r="M4" s="33">
        <f t="shared" si="0"/>
        <v>12000000</v>
      </c>
      <c r="N4" s="33">
        <f t="shared" si="0"/>
        <v>12000000</v>
      </c>
      <c r="O4" s="33">
        <f t="shared" si="0"/>
        <v>12000000</v>
      </c>
      <c r="P4" s="33">
        <f t="shared" si="0"/>
        <v>12000000</v>
      </c>
      <c r="Q4" s="33">
        <f t="shared" si="0"/>
        <v>12000000</v>
      </c>
      <c r="R4" s="33">
        <f t="shared" si="0"/>
        <v>12000000</v>
      </c>
      <c r="S4" s="33">
        <f t="shared" si="0"/>
        <v>12000000</v>
      </c>
      <c r="T4" s="33">
        <f t="shared" si="0"/>
        <v>12000000</v>
      </c>
      <c r="U4" s="33">
        <f t="shared" si="0"/>
        <v>12000000</v>
      </c>
      <c r="V4" s="33">
        <f t="shared" si="0"/>
        <v>12000000</v>
      </c>
      <c r="W4" s="33">
        <f t="shared" si="0"/>
        <v>12000000</v>
      </c>
      <c r="X4" s="33">
        <f>W4*(4/12)</f>
        <v>4000000</v>
      </c>
    </row>
    <row r="5" spans="1:24">
      <c r="A5" s="32" t="s">
        <v>120</v>
      </c>
      <c r="B5" s="31"/>
      <c r="C5" s="32"/>
      <c r="D5" s="34">
        <f>50%*(1+'Sensitivity Analysis'!D8)</f>
        <v>0.5</v>
      </c>
      <c r="E5" s="34">
        <f>60%*(1+'Sensitivity Analysis'!D8)</f>
        <v>0.6</v>
      </c>
      <c r="F5" s="34">
        <f>70%*(1+'Sensitivity Analysis'!D8)</f>
        <v>0.7</v>
      </c>
      <c r="G5" s="34">
        <f>F5</f>
        <v>0.7</v>
      </c>
      <c r="H5" s="34">
        <f t="shared" si="0"/>
        <v>0.7</v>
      </c>
      <c r="I5" s="34">
        <f t="shared" si="0"/>
        <v>0.7</v>
      </c>
      <c r="J5" s="34">
        <f t="shared" si="0"/>
        <v>0.7</v>
      </c>
      <c r="K5" s="34">
        <f t="shared" si="0"/>
        <v>0.7</v>
      </c>
      <c r="L5" s="34">
        <f t="shared" si="0"/>
        <v>0.7</v>
      </c>
      <c r="M5" s="34">
        <f t="shared" si="0"/>
        <v>0.7</v>
      </c>
      <c r="N5" s="34">
        <f t="shared" si="0"/>
        <v>0.7</v>
      </c>
      <c r="O5" s="34">
        <f t="shared" si="0"/>
        <v>0.7</v>
      </c>
      <c r="P5" s="34">
        <f t="shared" si="0"/>
        <v>0.7</v>
      </c>
      <c r="Q5" s="34">
        <f t="shared" si="0"/>
        <v>0.7</v>
      </c>
      <c r="R5" s="34">
        <f t="shared" si="0"/>
        <v>0.7</v>
      </c>
      <c r="S5" s="34">
        <f t="shared" si="0"/>
        <v>0.7</v>
      </c>
      <c r="T5" s="34">
        <f t="shared" si="0"/>
        <v>0.7</v>
      </c>
      <c r="U5" s="34">
        <f t="shared" si="0"/>
        <v>0.7</v>
      </c>
      <c r="V5" s="34">
        <f t="shared" si="0"/>
        <v>0.7</v>
      </c>
      <c r="W5" s="34">
        <f t="shared" si="0"/>
        <v>0.7</v>
      </c>
      <c r="X5" s="34">
        <f>W5</f>
        <v>0.7</v>
      </c>
    </row>
    <row r="6" spans="1:24">
      <c r="A6" s="35" t="s">
        <v>89</v>
      </c>
      <c r="B6" s="31"/>
      <c r="C6" s="32"/>
      <c r="D6" s="18">
        <f>D4*D5</f>
        <v>4000000</v>
      </c>
      <c r="E6" s="18">
        <f t="shared" ref="E6:W6" si="1">E4*E5</f>
        <v>7200000</v>
      </c>
      <c r="F6" s="18">
        <f t="shared" si="1"/>
        <v>8400000</v>
      </c>
      <c r="G6" s="18">
        <f t="shared" si="1"/>
        <v>8400000</v>
      </c>
      <c r="H6" s="18">
        <f t="shared" si="1"/>
        <v>8400000</v>
      </c>
      <c r="I6" s="18">
        <f t="shared" si="1"/>
        <v>8400000</v>
      </c>
      <c r="J6" s="18">
        <f t="shared" si="1"/>
        <v>8400000</v>
      </c>
      <c r="K6" s="18">
        <f t="shared" si="1"/>
        <v>8400000</v>
      </c>
      <c r="L6" s="18">
        <f t="shared" si="1"/>
        <v>8400000</v>
      </c>
      <c r="M6" s="18">
        <f t="shared" si="1"/>
        <v>8400000</v>
      </c>
      <c r="N6" s="18">
        <f t="shared" si="1"/>
        <v>8400000</v>
      </c>
      <c r="O6" s="18">
        <f t="shared" si="1"/>
        <v>8400000</v>
      </c>
      <c r="P6" s="18">
        <f t="shared" si="1"/>
        <v>8400000</v>
      </c>
      <c r="Q6" s="18">
        <f t="shared" si="1"/>
        <v>8400000</v>
      </c>
      <c r="R6" s="18">
        <f t="shared" si="1"/>
        <v>8400000</v>
      </c>
      <c r="S6" s="18">
        <f t="shared" si="1"/>
        <v>8400000</v>
      </c>
      <c r="T6" s="18">
        <f t="shared" si="1"/>
        <v>8400000</v>
      </c>
      <c r="U6" s="18">
        <f t="shared" si="1"/>
        <v>8400000</v>
      </c>
      <c r="V6" s="18">
        <f t="shared" si="1"/>
        <v>8400000</v>
      </c>
      <c r="W6" s="18">
        <f t="shared" si="1"/>
        <v>8400000</v>
      </c>
      <c r="X6" s="18">
        <f>X4*X5</f>
        <v>2800000</v>
      </c>
    </row>
    <row r="7" spans="1:24">
      <c r="A7" s="35"/>
      <c r="B7" s="31"/>
      <c r="C7" s="32"/>
      <c r="D7" s="32"/>
      <c r="E7" s="32"/>
      <c r="F7" s="32"/>
      <c r="G7" s="31"/>
      <c r="H7" s="31"/>
      <c r="I7" s="31"/>
      <c r="J7" s="31"/>
      <c r="K7" s="31"/>
      <c r="L7" s="31"/>
      <c r="M7" s="31"/>
      <c r="N7" s="31"/>
      <c r="O7" s="31"/>
      <c r="P7" s="31"/>
      <c r="Q7" s="31"/>
      <c r="R7" s="31"/>
      <c r="S7" s="31"/>
      <c r="T7" s="31"/>
      <c r="U7" s="31"/>
      <c r="V7" s="31"/>
      <c r="W7" s="31"/>
      <c r="X7" s="31"/>
    </row>
    <row r="8" spans="1:24">
      <c r="A8" s="35" t="s">
        <v>23</v>
      </c>
      <c r="B8" s="31" t="s">
        <v>102</v>
      </c>
      <c r="C8" s="32"/>
      <c r="D8" s="32">
        <f>+'Operation &amp; WC-IL'!C12</f>
        <v>310</v>
      </c>
      <c r="E8" s="32">
        <f>+'Operation &amp; WC-IL'!D12</f>
        <v>552</v>
      </c>
      <c r="F8" s="32">
        <f>+'Operation &amp; WC-IL'!E12</f>
        <v>638.1</v>
      </c>
      <c r="G8" s="32">
        <f>+'Operation &amp; WC-IL'!F12</f>
        <v>643.81500000000005</v>
      </c>
      <c r="H8" s="32">
        <f>+'Operation &amp; WC-IL'!G12</f>
        <v>650.24775</v>
      </c>
      <c r="I8" s="32">
        <f>+'Operation &amp; WC-IL'!H12</f>
        <v>657.52053750000005</v>
      </c>
      <c r="J8" s="32">
        <f>+'Operation &amp; WC-IL'!I12</f>
        <v>665.77904437500001</v>
      </c>
      <c r="K8" s="32">
        <f>+'Operation &amp; WC-IL'!J12</f>
        <v>675.19697259375005</v>
      </c>
      <c r="L8" s="32">
        <f>+'Operation &amp; WC-IL'!K12</f>
        <v>685.98159242343752</v>
      </c>
      <c r="M8" s="32">
        <f>+'Operation &amp; WC-IL'!L12</f>
        <v>698.38039748460938</v>
      </c>
      <c r="N8" s="32">
        <f>+'Operation &amp; WC-IL'!M12</f>
        <v>712.68908788683973</v>
      </c>
      <c r="O8" s="32">
        <f>+'Operation &amp; WC-IL'!N12</f>
        <v>729.26114691478188</v>
      </c>
      <c r="P8" s="32">
        <f>+'Operation &amp; WC-IL'!O12</f>
        <v>748.51932982084099</v>
      </c>
      <c r="Q8" s="32">
        <f>+'Operation &amp; WC-IL'!P12</f>
        <v>770.96944698426694</v>
      </c>
      <c r="R8" s="32">
        <f>+'Operation &amp; WC-IL'!Q12</f>
        <v>797.21690014034118</v>
      </c>
      <c r="S8" s="32">
        <f>+'Operation &amp; WC-IL'!R12</f>
        <v>827.98652211559113</v>
      </c>
      <c r="T8" s="32">
        <f>+'Operation &amp; WC-IL'!S12</f>
        <v>864.14638058325022</v>
      </c>
      <c r="U8" s="32">
        <f>+'Operation &amp; WC-IL'!T12</f>
        <v>906.73633844666824</v>
      </c>
      <c r="V8" s="32">
        <f>+'Operation &amp; WC-IL'!U12</f>
        <v>957.00232197010814</v>
      </c>
      <c r="W8" s="32">
        <f>+'Operation &amp; WC-IL'!V12</f>
        <v>1016.4374379899414</v>
      </c>
      <c r="X8" s="32">
        <f>+'Operation &amp; WC-IL'!W12</f>
        <v>362.27710326501062</v>
      </c>
    </row>
    <row r="9" spans="1:24">
      <c r="A9" s="35" t="s">
        <v>24</v>
      </c>
      <c r="B9" s="31" t="s">
        <v>102</v>
      </c>
      <c r="C9" s="32"/>
      <c r="D9" s="32">
        <v>0</v>
      </c>
      <c r="E9" s="32">
        <v>0</v>
      </c>
      <c r="F9" s="32">
        <v>0</v>
      </c>
      <c r="G9" s="32">
        <v>0</v>
      </c>
      <c r="H9" s="32">
        <v>0</v>
      </c>
      <c r="I9" s="32">
        <v>0</v>
      </c>
      <c r="J9" s="32">
        <v>0</v>
      </c>
      <c r="K9" s="32">
        <v>0</v>
      </c>
      <c r="L9" s="32">
        <v>0</v>
      </c>
      <c r="M9" s="32">
        <v>0</v>
      </c>
      <c r="N9" s="32">
        <v>0</v>
      </c>
      <c r="O9" s="32">
        <v>0</v>
      </c>
      <c r="P9" s="32">
        <v>0</v>
      </c>
      <c r="Q9" s="32">
        <v>0</v>
      </c>
      <c r="R9" s="32">
        <v>0</v>
      </c>
      <c r="S9" s="32">
        <v>0</v>
      </c>
      <c r="T9" s="32">
        <v>0</v>
      </c>
      <c r="U9" s="32">
        <v>0</v>
      </c>
      <c r="V9" s="32">
        <v>0</v>
      </c>
      <c r="W9" s="32">
        <v>0</v>
      </c>
      <c r="X9" s="32">
        <v>1</v>
      </c>
    </row>
    <row r="10" spans="1:24">
      <c r="A10" s="35" t="s">
        <v>25</v>
      </c>
      <c r="B10" s="31" t="s">
        <v>102</v>
      </c>
      <c r="C10" s="32"/>
      <c r="D10" s="32">
        <f t="shared" ref="D10:W10" si="2">+D8+D9</f>
        <v>310</v>
      </c>
      <c r="E10" s="32">
        <f t="shared" si="2"/>
        <v>552</v>
      </c>
      <c r="F10" s="32">
        <f t="shared" si="2"/>
        <v>638.1</v>
      </c>
      <c r="G10" s="32">
        <f t="shared" si="2"/>
        <v>643.81500000000005</v>
      </c>
      <c r="H10" s="32">
        <f t="shared" si="2"/>
        <v>650.24775</v>
      </c>
      <c r="I10" s="32">
        <f t="shared" si="2"/>
        <v>657.52053750000005</v>
      </c>
      <c r="J10" s="32">
        <f t="shared" si="2"/>
        <v>665.77904437500001</v>
      </c>
      <c r="K10" s="32">
        <f t="shared" si="2"/>
        <v>675.19697259375005</v>
      </c>
      <c r="L10" s="32">
        <f t="shared" si="2"/>
        <v>685.98159242343752</v>
      </c>
      <c r="M10" s="32">
        <f t="shared" si="2"/>
        <v>698.38039748460938</v>
      </c>
      <c r="N10" s="32">
        <f t="shared" si="2"/>
        <v>712.68908788683973</v>
      </c>
      <c r="O10" s="32">
        <f t="shared" si="2"/>
        <v>729.26114691478188</v>
      </c>
      <c r="P10" s="32">
        <f t="shared" si="2"/>
        <v>748.51932982084099</v>
      </c>
      <c r="Q10" s="32">
        <f t="shared" si="2"/>
        <v>770.96944698426694</v>
      </c>
      <c r="R10" s="32">
        <f t="shared" si="2"/>
        <v>797.21690014034118</v>
      </c>
      <c r="S10" s="32">
        <f t="shared" si="2"/>
        <v>827.98652211559113</v>
      </c>
      <c r="T10" s="32">
        <f t="shared" si="2"/>
        <v>864.14638058325022</v>
      </c>
      <c r="U10" s="32">
        <f t="shared" si="2"/>
        <v>906.73633844666824</v>
      </c>
      <c r="V10" s="32">
        <f t="shared" si="2"/>
        <v>957.00232197010814</v>
      </c>
      <c r="W10" s="32">
        <f t="shared" si="2"/>
        <v>1016.4374379899414</v>
      </c>
      <c r="X10" s="32">
        <f>+X8+X9</f>
        <v>363.27710326501062</v>
      </c>
    </row>
    <row r="11" spans="1:24">
      <c r="A11" s="83" t="s">
        <v>58</v>
      </c>
      <c r="B11" s="31" t="s">
        <v>102</v>
      </c>
      <c r="C11" s="32"/>
      <c r="D11" s="32">
        <f>'Assum-IL'!C33</f>
        <v>5.6</v>
      </c>
      <c r="E11" s="32">
        <f>'Assum-IL'!C34</f>
        <v>9.2399999999999984</v>
      </c>
      <c r="F11" s="32">
        <f>E11*(1+'Assum-IL'!$C$35)</f>
        <v>10.164</v>
      </c>
      <c r="G11" s="32">
        <f>F11*(1+'Assum-IL'!$C$35)</f>
        <v>11.180400000000001</v>
      </c>
      <c r="H11" s="32">
        <f>G11*(1+'Assum-IL'!$C$35)</f>
        <v>12.298440000000001</v>
      </c>
      <c r="I11" s="32">
        <f>H11*(1+'Assum-IL'!$C$35)</f>
        <v>13.528284000000003</v>
      </c>
      <c r="J11" s="32">
        <f>I11*(1+'Assum-IL'!$C$35)</f>
        <v>14.881112400000005</v>
      </c>
      <c r="K11" s="32">
        <f>J11*(1+'Assum-IL'!$C$35)</f>
        <v>16.369223640000005</v>
      </c>
      <c r="L11" s="32">
        <f>K11*(1+'Assum-IL'!$C$35)</f>
        <v>18.006146004000009</v>
      </c>
      <c r="M11" s="32">
        <f>L11*(1+'Assum-IL'!$C$35)</f>
        <v>19.806760604400012</v>
      </c>
      <c r="N11" s="32">
        <f>M11*(1+'Assum-IL'!$C$35)</f>
        <v>21.787436664840016</v>
      </c>
      <c r="O11" s="32">
        <f>N11*(1+'Assum-IL'!$C$35)</f>
        <v>23.966180331324018</v>
      </c>
      <c r="P11" s="32">
        <f>O11*(1+'Assum-IL'!$C$35)</f>
        <v>26.362798364456424</v>
      </c>
      <c r="Q11" s="32">
        <f>P11*(1+'Assum-IL'!$C$35)</f>
        <v>28.999078200902069</v>
      </c>
      <c r="R11" s="32">
        <f>Q11*(1+'Assum-IL'!$C$35)</f>
        <v>31.898986020992279</v>
      </c>
      <c r="S11" s="32">
        <f>R11*(1+'Assum-IL'!$C$35)</f>
        <v>35.088884623091509</v>
      </c>
      <c r="T11" s="32">
        <f>S11*(1+'Assum-IL'!$C$35)</f>
        <v>38.597773085400661</v>
      </c>
      <c r="U11" s="32">
        <f>T11*(1+'Assum-IL'!$C$35)</f>
        <v>42.457550393940728</v>
      </c>
      <c r="V11" s="32">
        <f>U11*(1+'Assum-IL'!$C$35)</f>
        <v>46.703305433334805</v>
      </c>
      <c r="W11" s="32">
        <f>V11*(1+'Assum-IL'!$C$35)</f>
        <v>51.37363597666829</v>
      </c>
      <c r="X11" s="32">
        <f>W11*(1+'Assum-IL'!$C$35)</f>
        <v>56.510999574335123</v>
      </c>
    </row>
    <row r="12" spans="1:24">
      <c r="A12" s="59" t="s">
        <v>176</v>
      </c>
      <c r="B12" s="32"/>
      <c r="C12" s="32"/>
      <c r="D12" s="32"/>
      <c r="E12" s="32"/>
      <c r="F12" s="32"/>
      <c r="G12" s="32"/>
      <c r="H12" s="32"/>
      <c r="I12" s="32"/>
      <c r="J12" s="32"/>
      <c r="K12" s="32"/>
      <c r="L12" s="32"/>
      <c r="M12" s="32"/>
      <c r="N12" s="32"/>
      <c r="O12" s="32"/>
      <c r="P12" s="32"/>
      <c r="Q12" s="32"/>
      <c r="R12" s="32"/>
      <c r="S12" s="32"/>
      <c r="T12" s="32"/>
      <c r="U12" s="32"/>
      <c r="V12" s="32"/>
      <c r="W12" s="32"/>
      <c r="X12" s="32"/>
    </row>
    <row r="13" spans="1:24">
      <c r="A13" s="59" t="s">
        <v>177</v>
      </c>
      <c r="B13" s="32" t="s">
        <v>102</v>
      </c>
      <c r="C13" s="32">
        <f>'Assum-IL'!$C$12</f>
        <v>570</v>
      </c>
      <c r="D13" s="32"/>
      <c r="E13" s="32"/>
      <c r="F13" s="32"/>
      <c r="G13" s="32"/>
      <c r="H13" s="32"/>
      <c r="I13" s="32"/>
      <c r="J13" s="32"/>
      <c r="K13" s="32"/>
      <c r="L13" s="32"/>
      <c r="M13" s="32"/>
      <c r="N13" s="32"/>
      <c r="O13" s="32"/>
      <c r="P13" s="32"/>
      <c r="Q13" s="32"/>
      <c r="R13" s="32"/>
      <c r="S13" s="32"/>
      <c r="T13" s="32"/>
      <c r="U13" s="32"/>
      <c r="V13" s="32"/>
      <c r="W13" s="32"/>
      <c r="X13" s="32"/>
    </row>
    <row r="14" spans="1:24">
      <c r="A14" s="49" t="s">
        <v>178</v>
      </c>
      <c r="B14" s="32" t="s">
        <v>102</v>
      </c>
      <c r="C14" s="32"/>
      <c r="D14" s="32">
        <f>$C$13/7*(8/12)</f>
        <v>54.285714285714285</v>
      </c>
      <c r="E14" s="32">
        <f t="shared" ref="E14:J14" si="3">$C$13/7</f>
        <v>81.428571428571431</v>
      </c>
      <c r="F14" s="32">
        <f t="shared" si="3"/>
        <v>81.428571428571431</v>
      </c>
      <c r="G14" s="32">
        <f t="shared" si="3"/>
        <v>81.428571428571431</v>
      </c>
      <c r="H14" s="32">
        <f t="shared" si="3"/>
        <v>81.428571428571431</v>
      </c>
      <c r="I14" s="32">
        <f t="shared" si="3"/>
        <v>81.428571428571431</v>
      </c>
      <c r="J14" s="32">
        <f t="shared" si="3"/>
        <v>81.428571428571431</v>
      </c>
      <c r="K14" s="32">
        <f>$C$13/7*(4/12)</f>
        <v>27.142857142857142</v>
      </c>
      <c r="L14" s="32"/>
      <c r="M14" s="32"/>
      <c r="N14" s="32"/>
      <c r="O14" s="32"/>
      <c r="P14" s="32"/>
      <c r="Q14" s="32"/>
      <c r="R14" s="32"/>
      <c r="S14" s="32"/>
      <c r="T14" s="32"/>
      <c r="U14" s="32"/>
      <c r="V14" s="32"/>
      <c r="W14" s="32"/>
      <c r="X14" s="32"/>
    </row>
    <row r="15" spans="1:24">
      <c r="A15" s="49" t="s">
        <v>179</v>
      </c>
      <c r="B15" s="32" t="s">
        <v>102</v>
      </c>
      <c r="C15" s="32"/>
      <c r="D15" s="32">
        <f>C13-D14</f>
        <v>515.71428571428567</v>
      </c>
      <c r="E15" s="32">
        <f>D15-E14</f>
        <v>434.28571428571422</v>
      </c>
      <c r="F15" s="32">
        <f t="shared" ref="F15:K15" si="4">E15-F14</f>
        <v>352.85714285714278</v>
      </c>
      <c r="G15" s="32">
        <f t="shared" si="4"/>
        <v>271.42857142857133</v>
      </c>
      <c r="H15" s="32">
        <f t="shared" si="4"/>
        <v>189.99999999999989</v>
      </c>
      <c r="I15" s="32">
        <f t="shared" si="4"/>
        <v>108.57142857142846</v>
      </c>
      <c r="J15" s="32">
        <f t="shared" si="4"/>
        <v>27.142857142857025</v>
      </c>
      <c r="K15" s="32">
        <f t="shared" si="4"/>
        <v>-1.1723955140041653E-13</v>
      </c>
      <c r="L15" s="32"/>
      <c r="M15" s="32"/>
      <c r="N15" s="32"/>
      <c r="O15" s="32"/>
      <c r="P15" s="32"/>
      <c r="Q15" s="32"/>
      <c r="R15" s="32"/>
      <c r="S15" s="32"/>
      <c r="T15" s="32"/>
      <c r="U15" s="32"/>
      <c r="V15" s="32"/>
      <c r="W15" s="32"/>
      <c r="X15" s="32"/>
    </row>
    <row r="16" spans="1:24" s="27" customFormat="1">
      <c r="A16" s="35" t="s">
        <v>55</v>
      </c>
      <c r="B16" s="31" t="s">
        <v>102</v>
      </c>
      <c r="C16" s="35"/>
      <c r="D16" s="32">
        <f>'Assum-IL'!$C$38*D15</f>
        <v>67.042857142857144</v>
      </c>
      <c r="E16" s="32">
        <f>'Assum-IL'!$C$38*E15</f>
        <v>56.457142857142848</v>
      </c>
      <c r="F16" s="32">
        <f>'Assum-IL'!$C$38*F15</f>
        <v>45.871428571428559</v>
      </c>
      <c r="G16" s="32">
        <f>'Assum-IL'!$C$38*G15</f>
        <v>35.285714285714278</v>
      </c>
      <c r="H16" s="32">
        <f>'Assum-IL'!$C$38*H15</f>
        <v>24.699999999999985</v>
      </c>
      <c r="I16" s="32">
        <f>'Assum-IL'!$C$38*I15</f>
        <v>14.1142857142857</v>
      </c>
      <c r="J16" s="32">
        <f>'Assum-IL'!$C$38*J15</f>
        <v>3.5285714285714134</v>
      </c>
      <c r="K16" s="32">
        <f>'Assum-IL'!$C$38*K15</f>
        <v>-1.5241141682054149E-14</v>
      </c>
      <c r="L16" s="32"/>
      <c r="M16" s="9"/>
      <c r="N16" s="9"/>
      <c r="O16" s="9"/>
      <c r="P16" s="9"/>
      <c r="Q16" s="9"/>
      <c r="R16" s="9"/>
      <c r="S16" s="9"/>
      <c r="T16" s="9"/>
      <c r="U16" s="9"/>
      <c r="V16" s="9"/>
      <c r="W16" s="9"/>
      <c r="X16" s="9"/>
    </row>
    <row r="17" spans="1:54" s="27" customFormat="1">
      <c r="A17" s="35" t="s">
        <v>56</v>
      </c>
      <c r="B17" s="9" t="s">
        <v>102</v>
      </c>
      <c r="C17" s="35"/>
      <c r="D17" s="35">
        <f>'Operation &amp; WC-IL'!C31</f>
        <v>8.5582816428571427</v>
      </c>
      <c r="E17" s="35">
        <f>'Operation &amp; WC-IL'!D31</f>
        <v>17.385901928571428</v>
      </c>
      <c r="F17" s="35">
        <f>'Operation &amp; WC-IL'!E31</f>
        <v>21.92435282142857</v>
      </c>
      <c r="G17" s="35">
        <f>'Operation &amp; WC-IL'!F31</f>
        <v>21.988034249999995</v>
      </c>
      <c r="H17" s="35">
        <f>'Operation &amp; WC-IL'!G31</f>
        <v>22.059713464285711</v>
      </c>
      <c r="I17" s="35">
        <f>'Operation &amp; WC-IL'!H31</f>
        <v>22.140753096428565</v>
      </c>
      <c r="J17" s="35">
        <f>'Operation &amp; WC-IL'!I31</f>
        <v>22.232776458749999</v>
      </c>
      <c r="K17" s="35">
        <f>'Operation &amp; WC-IL'!J31</f>
        <v>22.337719087473214</v>
      </c>
      <c r="L17" s="35">
        <f>'Operation &amp; WC-IL'!K31</f>
        <v>22.45789056557544</v>
      </c>
      <c r="M17" s="35">
        <f>'Operation &amp; WC-IL'!L31</f>
        <v>22.596048679114219</v>
      </c>
      <c r="N17" s="35">
        <f>'Operation &amp; WC-IL'!M31</f>
        <v>22.755488372167637</v>
      </c>
      <c r="O17" s="35">
        <f>'Operation &amp; WC-IL'!N31</f>
        <v>22.940148458478991</v>
      </c>
      <c r="P17" s="35">
        <f>'Operation &amp; WC-IL'!O31</f>
        <v>23.154739639432226</v>
      </c>
      <c r="Q17" s="35">
        <f>'Operation &amp; WC-IL'!P31</f>
        <v>23.404898087824687</v>
      </c>
      <c r="R17" s="35">
        <f>'Operation &amp; WC-IL'!Q31</f>
        <v>23.697369708706656</v>
      </c>
      <c r="S17" s="35">
        <f>'Operation &amp; WC-IL'!R31</f>
        <v>24.040231210716584</v>
      </c>
      <c r="T17" s="35">
        <f>'Operation &amp; WC-IL'!S31</f>
        <v>24.443155347927643</v>
      </c>
      <c r="U17" s="35">
        <f>'Operation &amp; WC-IL'!T31</f>
        <v>24.917729164120018</v>
      </c>
      <c r="V17" s="35">
        <f>'Operation &amp; WC-IL'!U31</f>
        <v>25.477835837666913</v>
      </c>
      <c r="W17" s="35">
        <f>'Operation &amp; WC-IL'!V31</f>
        <v>25.988213416173625</v>
      </c>
      <c r="X17" s="35">
        <f>'Operation &amp; WC-IL'!W31</f>
        <v>1.885213329238691</v>
      </c>
    </row>
    <row r="18" spans="1:54" s="27" customFormat="1">
      <c r="A18" s="35" t="s">
        <v>90</v>
      </c>
      <c r="B18" s="31" t="s">
        <v>102</v>
      </c>
      <c r="C18" s="35"/>
      <c r="D18" s="35">
        <f>'Assum-IL'!$C$37*D6/100000</f>
        <v>10</v>
      </c>
      <c r="E18" s="35">
        <f>'Assum-IL'!$C$37*E6/100000</f>
        <v>18</v>
      </c>
      <c r="F18" s="35">
        <f>'Assum-IL'!$C$37*F6/100000</f>
        <v>21</v>
      </c>
      <c r="G18" s="35">
        <f>'Assum-IL'!$C$37*G6/100000</f>
        <v>21</v>
      </c>
      <c r="H18" s="35">
        <f>'Assum-IL'!$C$37*H6/100000</f>
        <v>21</v>
      </c>
      <c r="I18" s="35">
        <f>'Assum-IL'!$C$37*I6/100000</f>
        <v>21</v>
      </c>
      <c r="J18" s="35">
        <f>'Assum-IL'!$C$37*J6/100000</f>
        <v>21</v>
      </c>
      <c r="K18" s="35">
        <f>'Assum-IL'!$C$37*K6/100000</f>
        <v>21</v>
      </c>
      <c r="L18" s="35">
        <f>'Assum-IL'!$C$37*L6/100000</f>
        <v>21</v>
      </c>
      <c r="M18" s="35">
        <f>'Assum-IL'!$C$37*M6/100000</f>
        <v>21</v>
      </c>
      <c r="N18" s="35">
        <f>'Assum-IL'!$C$37*N6/100000</f>
        <v>21</v>
      </c>
      <c r="O18" s="35">
        <f>'Assum-IL'!$C$37*O6/100000</f>
        <v>21</v>
      </c>
      <c r="P18" s="35">
        <f>'Assum-IL'!$C$37*P6/100000</f>
        <v>21</v>
      </c>
      <c r="Q18" s="35">
        <f>'Assum-IL'!$C$37*Q6/100000</f>
        <v>21</v>
      </c>
      <c r="R18" s="35">
        <f>'Assum-IL'!$C$37*R6/100000</f>
        <v>21</v>
      </c>
      <c r="S18" s="35">
        <f>'Assum-IL'!$C$37*S6/100000</f>
        <v>21</v>
      </c>
      <c r="T18" s="35">
        <f>'Assum-IL'!$C$37*T6/100000</f>
        <v>21</v>
      </c>
      <c r="U18" s="35">
        <f>'Assum-IL'!$C$37*U6/100000</f>
        <v>21</v>
      </c>
      <c r="V18" s="35">
        <f>'Assum-IL'!$C$37*V6/100000</f>
        <v>21</v>
      </c>
      <c r="W18" s="35">
        <f>'Assum-IL'!$C$37*W6/100000</f>
        <v>21</v>
      </c>
      <c r="X18" s="35">
        <f>'Assum-IL'!$C$37*X6/100000</f>
        <v>7</v>
      </c>
    </row>
    <row r="19" spans="1:54">
      <c r="A19" s="32" t="s">
        <v>57</v>
      </c>
      <c r="B19" s="31" t="s">
        <v>102</v>
      </c>
      <c r="C19" s="32"/>
      <c r="D19" s="32">
        <f>+D10+D11+D18+D16+D17</f>
        <v>401.20113878571431</v>
      </c>
      <c r="E19" s="32">
        <f t="shared" ref="E19:W19" si="5">+E10+E11+E18+E16+E17</f>
        <v>653.08304478571426</v>
      </c>
      <c r="F19" s="32">
        <f t="shared" si="5"/>
        <v>737.05978139285708</v>
      </c>
      <c r="G19" s="32">
        <f t="shared" si="5"/>
        <v>733.26914853571418</v>
      </c>
      <c r="H19" s="32">
        <f t="shared" si="5"/>
        <v>730.30590346428562</v>
      </c>
      <c r="I19" s="32">
        <f t="shared" si="5"/>
        <v>728.30386031071419</v>
      </c>
      <c r="J19" s="32">
        <f t="shared" si="5"/>
        <v>727.42150466232147</v>
      </c>
      <c r="K19" s="32">
        <f t="shared" si="5"/>
        <v>734.90391532122328</v>
      </c>
      <c r="L19" s="32">
        <f t="shared" si="5"/>
        <v>747.44562899301297</v>
      </c>
      <c r="M19" s="32">
        <f t="shared" si="5"/>
        <v>761.78320676812359</v>
      </c>
      <c r="N19" s="32">
        <f t="shared" si="5"/>
        <v>778.23201292384738</v>
      </c>
      <c r="O19" s="32">
        <f t="shared" si="5"/>
        <v>797.16747570458494</v>
      </c>
      <c r="P19" s="32">
        <f t="shared" si="5"/>
        <v>819.03686782472971</v>
      </c>
      <c r="Q19" s="32">
        <f t="shared" si="5"/>
        <v>844.3734232729937</v>
      </c>
      <c r="R19" s="32">
        <f t="shared" si="5"/>
        <v>873.81325587004017</v>
      </c>
      <c r="S19" s="32">
        <f t="shared" si="5"/>
        <v>908.11563794939923</v>
      </c>
      <c r="T19" s="32">
        <f t="shared" si="5"/>
        <v>948.18730901657841</v>
      </c>
      <c r="U19" s="32">
        <f t="shared" si="5"/>
        <v>995.11161800472905</v>
      </c>
      <c r="V19" s="32">
        <f t="shared" si="5"/>
        <v>1050.1834632411098</v>
      </c>
      <c r="W19" s="32">
        <f t="shared" si="5"/>
        <v>1114.7992873827834</v>
      </c>
      <c r="X19" s="32">
        <f>+X10+X11+X18+X16+X17</f>
        <v>428.67331616858445</v>
      </c>
    </row>
    <row r="20" spans="1:54">
      <c r="A20" s="32" t="s">
        <v>27</v>
      </c>
      <c r="B20" s="31" t="s">
        <v>102</v>
      </c>
      <c r="C20" s="32"/>
      <c r="D20" s="32">
        <f>'Depreciation-IL'!D39</f>
        <v>17.394666666666666</v>
      </c>
      <c r="E20" s="32">
        <f>'Depreciation-IL'!E39</f>
        <v>26.091999999999999</v>
      </c>
      <c r="F20" s="32">
        <f>'Depreciation-IL'!F39</f>
        <v>26.091999999999999</v>
      </c>
      <c r="G20" s="32">
        <f>'Depreciation-IL'!G39</f>
        <v>26.091999999999999</v>
      </c>
      <c r="H20" s="32">
        <f>'Depreciation-IL'!H39</f>
        <v>26.091999999999999</v>
      </c>
      <c r="I20" s="32">
        <f>'Depreciation-IL'!I39</f>
        <v>26.091999999999999</v>
      </c>
      <c r="J20" s="32">
        <f>'Depreciation-IL'!J39</f>
        <v>26.091999999999999</v>
      </c>
      <c r="K20" s="32">
        <f>'Depreciation-IL'!K39</f>
        <v>26.091999999999999</v>
      </c>
      <c r="L20" s="32">
        <f>'Depreciation-IL'!L39</f>
        <v>26.091999999999999</v>
      </c>
      <c r="M20" s="32">
        <f>'Depreciation-IL'!M39</f>
        <v>26.091999999999999</v>
      </c>
      <c r="N20" s="32">
        <f>'Depreciation-IL'!N39</f>
        <v>26.091999999999999</v>
      </c>
      <c r="O20" s="32">
        <f>'Depreciation-IL'!O39</f>
        <v>26.091999999999999</v>
      </c>
      <c r="P20" s="32">
        <f>'Depreciation-IL'!P39</f>
        <v>26.091999999999999</v>
      </c>
      <c r="Q20" s="32">
        <f>'Depreciation-IL'!Q39</f>
        <v>26.091999999999999</v>
      </c>
      <c r="R20" s="32">
        <f>'Depreciation-IL'!R39</f>
        <v>26.091999999999999</v>
      </c>
      <c r="S20" s="32">
        <f>'Depreciation-IL'!S39</f>
        <v>26.091999999999999</v>
      </c>
      <c r="T20" s="32">
        <f>'Depreciation-IL'!T39</f>
        <v>26.091999999999999</v>
      </c>
      <c r="U20" s="32">
        <f>'Depreciation-IL'!U39</f>
        <v>26.091999999999999</v>
      </c>
      <c r="V20" s="32">
        <f>'Depreciation-IL'!V39</f>
        <v>26.091999999999999</v>
      </c>
      <c r="W20" s="32">
        <f>'Depreciation-IL'!W39</f>
        <v>12.459999999999908</v>
      </c>
      <c r="X20" s="32">
        <f>'Depreciation-IL'!X39</f>
        <v>2.4493333333333331</v>
      </c>
    </row>
    <row r="21" spans="1:54">
      <c r="A21" s="32"/>
      <c r="B21" s="31"/>
      <c r="C21" s="32"/>
      <c r="D21" s="32"/>
      <c r="E21" s="32"/>
      <c r="F21" s="32"/>
      <c r="G21" s="32"/>
      <c r="H21" s="32"/>
      <c r="I21" s="32"/>
      <c r="J21" s="32"/>
      <c r="K21" s="32"/>
      <c r="L21" s="32"/>
      <c r="M21" s="32"/>
      <c r="N21" s="32"/>
      <c r="O21" s="32"/>
      <c r="P21" s="32"/>
      <c r="Q21" s="32"/>
      <c r="R21" s="32"/>
      <c r="S21" s="32"/>
      <c r="T21" s="32"/>
      <c r="U21" s="32"/>
      <c r="V21" s="32"/>
      <c r="W21" s="32"/>
      <c r="X21" s="32"/>
    </row>
    <row r="22" spans="1:54">
      <c r="A22" s="32" t="s">
        <v>26</v>
      </c>
      <c r="B22" s="31" t="s">
        <v>102</v>
      </c>
      <c r="C22" s="32"/>
      <c r="D22" s="32">
        <v>0</v>
      </c>
      <c r="E22" s="32">
        <v>0</v>
      </c>
      <c r="F22" s="32">
        <v>0</v>
      </c>
      <c r="G22" s="32">
        <v>0</v>
      </c>
      <c r="H22" s="32">
        <v>0</v>
      </c>
      <c r="I22" s="32">
        <v>0</v>
      </c>
      <c r="J22" s="32">
        <v>0</v>
      </c>
      <c r="K22" s="32">
        <v>0</v>
      </c>
      <c r="L22" s="32">
        <v>0</v>
      </c>
      <c r="M22" s="32">
        <v>0</v>
      </c>
      <c r="N22" s="32">
        <v>0</v>
      </c>
      <c r="O22" s="32">
        <v>0</v>
      </c>
      <c r="P22" s="32">
        <v>0</v>
      </c>
      <c r="Q22" s="32">
        <v>0</v>
      </c>
      <c r="R22" s="32">
        <v>0</v>
      </c>
      <c r="S22" s="32">
        <v>0</v>
      </c>
      <c r="T22" s="32">
        <v>0</v>
      </c>
      <c r="U22" s="32">
        <v>0</v>
      </c>
      <c r="V22" s="32">
        <v>0</v>
      </c>
      <c r="W22" s="32">
        <v>0</v>
      </c>
      <c r="X22" s="32">
        <f>'Depreciation-IL'!X34+'Depreciation-IL'!X38</f>
        <v>73.039999999999878</v>
      </c>
    </row>
    <row r="23" spans="1:54">
      <c r="A23" s="84" t="s">
        <v>109</v>
      </c>
      <c r="B23" s="31" t="s">
        <v>102</v>
      </c>
      <c r="C23" s="32"/>
      <c r="D23" s="32">
        <f>+D19+D20</f>
        <v>418.595805452381</v>
      </c>
      <c r="E23" s="32">
        <f t="shared" ref="E23:W23" si="6">+E19+E20</f>
        <v>679.17504478571425</v>
      </c>
      <c r="F23" s="32">
        <f t="shared" si="6"/>
        <v>763.15178139285706</v>
      </c>
      <c r="G23" s="32">
        <f t="shared" si="6"/>
        <v>759.36114853571416</v>
      </c>
      <c r="H23" s="32">
        <f t="shared" si="6"/>
        <v>756.3979034642856</v>
      </c>
      <c r="I23" s="32">
        <f t="shared" si="6"/>
        <v>754.39586031071417</v>
      </c>
      <c r="J23" s="32">
        <f t="shared" si="6"/>
        <v>753.51350466232145</v>
      </c>
      <c r="K23" s="32">
        <f t="shared" si="6"/>
        <v>760.99591532122326</v>
      </c>
      <c r="L23" s="32">
        <f t="shared" si="6"/>
        <v>773.53762899301296</v>
      </c>
      <c r="M23" s="32">
        <f t="shared" si="6"/>
        <v>787.87520676812358</v>
      </c>
      <c r="N23" s="32">
        <f t="shared" si="6"/>
        <v>804.32401292384736</v>
      </c>
      <c r="O23" s="32">
        <f t="shared" si="6"/>
        <v>823.25947570458493</v>
      </c>
      <c r="P23" s="32">
        <f t="shared" si="6"/>
        <v>845.1288678247297</v>
      </c>
      <c r="Q23" s="32">
        <f t="shared" si="6"/>
        <v>870.46542327299369</v>
      </c>
      <c r="R23" s="32">
        <f t="shared" si="6"/>
        <v>899.90525587004015</v>
      </c>
      <c r="S23" s="32">
        <f t="shared" si="6"/>
        <v>934.20763794939921</v>
      </c>
      <c r="T23" s="32">
        <f t="shared" si="6"/>
        <v>974.2793090165784</v>
      </c>
      <c r="U23" s="32">
        <f t="shared" si="6"/>
        <v>1021.203618004729</v>
      </c>
      <c r="V23" s="32">
        <f t="shared" si="6"/>
        <v>1076.2754632411099</v>
      </c>
      <c r="W23" s="32">
        <f t="shared" si="6"/>
        <v>1127.2592873827832</v>
      </c>
      <c r="X23" s="32">
        <f>+X19+X20</f>
        <v>431.12264950191781</v>
      </c>
    </row>
    <row r="24" spans="1:54">
      <c r="A24" s="85" t="s">
        <v>180</v>
      </c>
      <c r="B24" s="31" t="s">
        <v>111</v>
      </c>
      <c r="C24" s="32"/>
      <c r="D24" s="32">
        <f t="shared" ref="D24:W24" si="7">+D23*100000/D6</f>
        <v>10.464895136309526</v>
      </c>
      <c r="E24" s="32">
        <f t="shared" si="7"/>
        <v>9.4329867331349213</v>
      </c>
      <c r="F24" s="32">
        <f t="shared" si="7"/>
        <v>9.0851402546768707</v>
      </c>
      <c r="G24" s="32">
        <f t="shared" si="7"/>
        <v>9.040013673044216</v>
      </c>
      <c r="H24" s="32">
        <f t="shared" si="7"/>
        <v>9.0047369460033995</v>
      </c>
      <c r="I24" s="32">
        <f t="shared" si="7"/>
        <v>8.9809030989370733</v>
      </c>
      <c r="J24" s="32">
        <f t="shared" si="7"/>
        <v>8.9703988650276365</v>
      </c>
      <c r="K24" s="32">
        <f t="shared" si="7"/>
        <v>9.0594751823955146</v>
      </c>
      <c r="L24" s="32">
        <f t="shared" si="7"/>
        <v>9.208781297535868</v>
      </c>
      <c r="M24" s="32">
        <f t="shared" si="7"/>
        <v>9.3794667472395652</v>
      </c>
      <c r="N24" s="32">
        <f t="shared" si="7"/>
        <v>9.5752858681410409</v>
      </c>
      <c r="O24" s="32">
        <f t="shared" si="7"/>
        <v>9.8007080441022012</v>
      </c>
      <c r="P24" s="32">
        <f t="shared" si="7"/>
        <v>10.061057950294401</v>
      </c>
      <c r="Q24" s="32">
        <f t="shared" si="7"/>
        <v>10.362683610392782</v>
      </c>
      <c r="R24" s="32">
        <f t="shared" si="7"/>
        <v>10.713157807976669</v>
      </c>
      <c r="S24" s="32">
        <f t="shared" si="7"/>
        <v>11.121519499397609</v>
      </c>
      <c r="T24" s="32">
        <f t="shared" si="7"/>
        <v>11.598563202578314</v>
      </c>
      <c r="U24" s="32">
        <f t="shared" si="7"/>
        <v>12.157185928627726</v>
      </c>
      <c r="V24" s="32">
        <f t="shared" si="7"/>
        <v>12.812803133822738</v>
      </c>
      <c r="W24" s="32">
        <f t="shared" si="7"/>
        <v>13.419753421223609</v>
      </c>
      <c r="X24" s="32">
        <f>+X23*100000/X6</f>
        <v>15.39723748221135</v>
      </c>
    </row>
    <row r="25" spans="1:54">
      <c r="A25" s="84" t="s">
        <v>239</v>
      </c>
      <c r="B25" s="31"/>
      <c r="C25" s="36">
        <f>SUM(D25:W25)</f>
        <v>9.8916428664473859</v>
      </c>
      <c r="D25" s="36">
        <f>1/1.079</f>
        <v>0.92678405931417984</v>
      </c>
      <c r="E25" s="36">
        <f>D25/1.079</f>
        <v>0.85892869259886917</v>
      </c>
      <c r="F25" s="36">
        <f t="shared" ref="F25:X25" si="8">E25/1.079</f>
        <v>0.79604142038820125</v>
      </c>
      <c r="G25" s="36">
        <f t="shared" si="8"/>
        <v>0.73775849896960266</v>
      </c>
      <c r="H25" s="36">
        <f t="shared" si="8"/>
        <v>0.68374281646858448</v>
      </c>
      <c r="I25" s="36">
        <f t="shared" si="8"/>
        <v>0.63368194297366498</v>
      </c>
      <c r="J25" s="36">
        <f t="shared" si="8"/>
        <v>0.58728632342322984</v>
      </c>
      <c r="K25" s="36">
        <f t="shared" si="8"/>
        <v>0.54428760280188127</v>
      </c>
      <c r="L25" s="36">
        <f t="shared" si="8"/>
        <v>0.50443707395911153</v>
      </c>
      <c r="M25" s="36">
        <f t="shared" si="8"/>
        <v>0.46750423907239252</v>
      </c>
      <c r="N25" s="36">
        <f t="shared" si="8"/>
        <v>0.43327547643409875</v>
      </c>
      <c r="O25" s="36">
        <f t="shared" si="8"/>
        <v>0.4015528048508793</v>
      </c>
      <c r="P25" s="36">
        <f t="shared" si="8"/>
        <v>0.37215273850869257</v>
      </c>
      <c r="Q25" s="36">
        <f t="shared" si="8"/>
        <v>0.34490522567997461</v>
      </c>
      <c r="R25" s="36">
        <f t="shared" si="8"/>
        <v>0.31965266513436019</v>
      </c>
      <c r="S25" s="36">
        <f t="shared" si="8"/>
        <v>0.29624899456381854</v>
      </c>
      <c r="T25" s="36">
        <f t="shared" si="8"/>
        <v>0.27455884574960016</v>
      </c>
      <c r="U25" s="36">
        <f t="shared" si="8"/>
        <v>0.2544567615844302</v>
      </c>
      <c r="V25" s="36">
        <f t="shared" si="8"/>
        <v>0.23582647042115867</v>
      </c>
      <c r="W25" s="36">
        <f t="shared" si="8"/>
        <v>0.2185602135506568</v>
      </c>
      <c r="X25" s="36">
        <f t="shared" si="8"/>
        <v>0.20255812191905173</v>
      </c>
    </row>
    <row r="26" spans="1:54">
      <c r="A26" s="31" t="s">
        <v>103</v>
      </c>
      <c r="B26" s="31" t="s">
        <v>111</v>
      </c>
      <c r="C26" s="32">
        <f>+SUM(D26:W26)</f>
        <v>97.134209273163719</v>
      </c>
      <c r="D26" s="32">
        <f>+D24*D25</f>
        <v>9.6986979947261602</v>
      </c>
      <c r="E26" s="32">
        <f t="shared" ref="E26:W26" si="9">+E24*E25</f>
        <v>8.1022629619940556</v>
      </c>
      <c r="F26" s="32">
        <f t="shared" si="9"/>
        <v>7.2321479527590009</v>
      </c>
      <c r="G26" s="32">
        <f t="shared" si="9"/>
        <v>6.6693469180897855</v>
      </c>
      <c r="H26" s="32">
        <f t="shared" si="9"/>
        <v>6.1569242010190841</v>
      </c>
      <c r="I26" s="32">
        <f t="shared" si="9"/>
        <v>5.6910361253926531</v>
      </c>
      <c r="J26" s="32">
        <f t="shared" si="9"/>
        <v>5.2681925690819948</v>
      </c>
      <c r="K26" s="32">
        <f t="shared" si="9"/>
        <v>4.9309600296691904</v>
      </c>
      <c r="L26" s="32">
        <f t="shared" si="9"/>
        <v>4.6452506924583838</v>
      </c>
      <c r="M26" s="32">
        <f t="shared" si="9"/>
        <v>4.3849404645730417</v>
      </c>
      <c r="N26" s="32">
        <f t="shared" si="9"/>
        <v>4.1487365465115023</v>
      </c>
      <c r="O26" s="32">
        <f t="shared" si="9"/>
        <v>3.9355018046338142</v>
      </c>
      <c r="P26" s="32">
        <f t="shared" si="9"/>
        <v>3.7442502684967147</v>
      </c>
      <c r="Q26" s="32">
        <f t="shared" si="9"/>
        <v>3.5741437292926967</v>
      </c>
      <c r="R26" s="32">
        <f t="shared" si="9"/>
        <v>3.4244894453247228</v>
      </c>
      <c r="S26" s="32">
        <f t="shared" si="9"/>
        <v>3.2947389697184439</v>
      </c>
      <c r="T26" s="32">
        <f t="shared" si="9"/>
        <v>3.1844881252536874</v>
      </c>
      <c r="U26" s="32">
        <f t="shared" si="9"/>
        <v>3.0934781613784148</v>
      </c>
      <c r="V26" s="32">
        <f t="shared" si="9"/>
        <v>3.0215981392505773</v>
      </c>
      <c r="W26" s="32">
        <f t="shared" si="9"/>
        <v>2.9330241735397893</v>
      </c>
      <c r="X26" s="32">
        <f>+X24*X25</f>
        <v>3.11883550713836</v>
      </c>
    </row>
    <row r="27" spans="1:54">
      <c r="A27" s="84" t="s">
        <v>150</v>
      </c>
      <c r="B27" s="31" t="s">
        <v>111</v>
      </c>
      <c r="C27" s="86">
        <f>+C26/C25</f>
        <v>9.8198257442800063</v>
      </c>
      <c r="D27" s="32"/>
      <c r="E27" s="31"/>
      <c r="F27" s="31"/>
      <c r="G27" s="31"/>
      <c r="H27" s="31"/>
      <c r="I27" s="31"/>
      <c r="J27" s="31"/>
      <c r="K27" s="31"/>
      <c r="L27" s="31"/>
      <c r="M27" s="31"/>
      <c r="N27" s="31"/>
      <c r="O27" s="31"/>
      <c r="P27" s="31"/>
      <c r="Q27" s="31"/>
      <c r="R27" s="31"/>
      <c r="S27" s="31"/>
      <c r="T27" s="31"/>
      <c r="U27" s="31"/>
      <c r="V27" s="31"/>
      <c r="W27" s="31"/>
      <c r="X27" s="31"/>
    </row>
    <row r="28" spans="1:54">
      <c r="B28" s="27"/>
      <c r="C28" s="28"/>
      <c r="D28" s="6"/>
      <c r="E28" s="6"/>
      <c r="F28" s="6"/>
      <c r="G28" s="6"/>
      <c r="H28" s="6"/>
      <c r="I28" s="6"/>
      <c r="J28" s="6"/>
      <c r="K28" s="6"/>
      <c r="L28" s="6"/>
      <c r="M28" s="6"/>
      <c r="N28" s="6"/>
      <c r="O28" s="6"/>
      <c r="P28" s="6"/>
      <c r="Q28" s="6"/>
      <c r="R28" s="6"/>
      <c r="S28" s="6"/>
      <c r="T28" s="6"/>
      <c r="U28" s="2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row>
    <row r="29" spans="1:54">
      <c r="A29" s="84" t="s">
        <v>143</v>
      </c>
      <c r="B29" s="31"/>
      <c r="C29" s="31"/>
      <c r="D29" s="31"/>
      <c r="E29" s="31"/>
      <c r="F29" s="31"/>
      <c r="G29" s="31"/>
      <c r="H29" s="31"/>
      <c r="I29" s="31"/>
      <c r="J29" s="31"/>
      <c r="K29" s="31"/>
      <c r="L29" s="31"/>
      <c r="M29" s="31"/>
      <c r="N29" s="31"/>
      <c r="O29" s="31"/>
      <c r="P29" s="31"/>
      <c r="Q29" s="31"/>
      <c r="R29" s="31"/>
      <c r="S29" s="31"/>
      <c r="T29" s="31"/>
      <c r="U29" s="31"/>
      <c r="V29" s="31"/>
      <c r="W29" s="31"/>
      <c r="X29" s="31"/>
    </row>
    <row r="30" spans="1:54">
      <c r="A30" s="32" t="s">
        <v>104</v>
      </c>
      <c r="B30" s="31"/>
      <c r="C30" s="31"/>
      <c r="D30" s="31">
        <f>D6*'Assum-IL'!$C$45/100000</f>
        <v>600</v>
      </c>
      <c r="E30" s="31">
        <f>E6*'Assum-IL'!$C$45/100000</f>
        <v>1080</v>
      </c>
      <c r="F30" s="31">
        <f>F6*'Assum-IL'!$C$45/100000</f>
        <v>1260</v>
      </c>
      <c r="G30" s="31">
        <f>G6*'Assum-IL'!$C$45/100000</f>
        <v>1260</v>
      </c>
      <c r="H30" s="31">
        <f>H6*'Assum-IL'!$C$45/100000</f>
        <v>1260</v>
      </c>
      <c r="I30" s="31">
        <f>I6*'Assum-IL'!$C$45/100000</f>
        <v>1260</v>
      </c>
      <c r="J30" s="31">
        <f>J6*'Assum-IL'!$C$45/100000</f>
        <v>1260</v>
      </c>
      <c r="K30" s="31">
        <f>K6*'Assum-IL'!$C$45/100000</f>
        <v>1260</v>
      </c>
      <c r="L30" s="31">
        <f>L6*'Assum-IL'!$C$45/100000</f>
        <v>1260</v>
      </c>
      <c r="M30" s="31">
        <f>M6*'Assum-IL'!$C$45/100000</f>
        <v>1260</v>
      </c>
      <c r="N30" s="31">
        <f>N6*'Assum-IL'!$C$45/100000</f>
        <v>1260</v>
      </c>
      <c r="O30" s="31">
        <f>O6*'Assum-IL'!$C$45/100000</f>
        <v>1260</v>
      </c>
      <c r="P30" s="31">
        <f>P6*'Assum-IL'!$C$45/100000</f>
        <v>1260</v>
      </c>
      <c r="Q30" s="31">
        <f>Q6*'Assum-IL'!$C$45/100000</f>
        <v>1260</v>
      </c>
      <c r="R30" s="31">
        <f>R6*'Assum-IL'!$C$45/100000</f>
        <v>1260</v>
      </c>
      <c r="S30" s="31">
        <f>S6*'Assum-IL'!$C$45/100000</f>
        <v>1260</v>
      </c>
      <c r="T30" s="31">
        <f>T6*'Assum-IL'!$C$45/100000</f>
        <v>1260</v>
      </c>
      <c r="U30" s="31">
        <f>U6*'Assum-IL'!$C$45/100000</f>
        <v>1260</v>
      </c>
      <c r="V30" s="31">
        <f>V6*'Assum-IL'!$C$45/100000</f>
        <v>1260</v>
      </c>
      <c r="W30" s="31">
        <f>W6*'Assum-IL'!$C$45/100000</f>
        <v>1260</v>
      </c>
      <c r="X30" s="31">
        <f>X6*'Assum-IL'!$C$45/100000</f>
        <v>420</v>
      </c>
    </row>
    <row r="31" spans="1:54">
      <c r="A31" s="32" t="s">
        <v>127</v>
      </c>
      <c r="B31" s="31"/>
      <c r="C31" s="31"/>
      <c r="D31" s="9">
        <f>'Assum-IL'!$C$48*D30</f>
        <v>48</v>
      </c>
      <c r="E31" s="9">
        <f>'Assum-IL'!$C$48*E30</f>
        <v>86.4</v>
      </c>
      <c r="F31" s="9">
        <f>'Assum-IL'!$C$48*F30</f>
        <v>100.8</v>
      </c>
      <c r="G31" s="9">
        <f>'Assum-IL'!$C$48*G30</f>
        <v>100.8</v>
      </c>
      <c r="H31" s="9">
        <f>'Assum-IL'!$C$48*H30</f>
        <v>100.8</v>
      </c>
      <c r="I31" s="9">
        <f>'Assum-IL'!$C$48*I30</f>
        <v>100.8</v>
      </c>
      <c r="J31" s="9">
        <f>'Assum-IL'!$C$48*J30</f>
        <v>100.8</v>
      </c>
      <c r="K31" s="9">
        <f>'Assum-IL'!$C$48*K30</f>
        <v>100.8</v>
      </c>
      <c r="L31" s="9">
        <f>'Assum-IL'!$C$48*L30</f>
        <v>100.8</v>
      </c>
      <c r="M31" s="9">
        <f>'Assum-IL'!$C$48*M30</f>
        <v>100.8</v>
      </c>
      <c r="N31" s="9">
        <f>'Assum-IL'!$C$48*N30</f>
        <v>100.8</v>
      </c>
      <c r="O31" s="9">
        <f>'Assum-IL'!$C$48*O30</f>
        <v>100.8</v>
      </c>
      <c r="P31" s="9">
        <f>'Assum-IL'!$C$48*P30</f>
        <v>100.8</v>
      </c>
      <c r="Q31" s="9">
        <f>'Assum-IL'!$C$48*Q30</f>
        <v>100.8</v>
      </c>
      <c r="R31" s="9">
        <f>'Assum-IL'!$C$48*R30</f>
        <v>100.8</v>
      </c>
      <c r="S31" s="9">
        <f>'Assum-IL'!$C$48*S30</f>
        <v>100.8</v>
      </c>
      <c r="T31" s="9">
        <f>'Assum-IL'!$C$48*T30</f>
        <v>100.8</v>
      </c>
      <c r="U31" s="9">
        <f>'Assum-IL'!$C$48*U30</f>
        <v>100.8</v>
      </c>
      <c r="V31" s="9">
        <f>'Assum-IL'!$C$48*V30</f>
        <v>100.8</v>
      </c>
      <c r="W31" s="9">
        <f>'Assum-IL'!$C$48*W30</f>
        <v>100.8</v>
      </c>
      <c r="X31" s="9">
        <f>'Assum-IL'!$C$48*X30</f>
        <v>33.6</v>
      </c>
    </row>
    <row r="32" spans="1:54">
      <c r="A32" s="32" t="s">
        <v>129</v>
      </c>
      <c r="B32" s="31"/>
      <c r="C32" s="31"/>
      <c r="D32" s="9">
        <f>'Assum-IL'!$C$49*(D30+D31)</f>
        <v>81</v>
      </c>
      <c r="E32" s="9">
        <f>'Assum-IL'!$C$49*(E30+E31)</f>
        <v>145.80000000000001</v>
      </c>
      <c r="F32" s="9">
        <f>'Assum-IL'!$C$49*(F30+F31)</f>
        <v>170.1</v>
      </c>
      <c r="G32" s="9">
        <f>'Assum-IL'!$C$49*(G30+G31)</f>
        <v>170.1</v>
      </c>
      <c r="H32" s="9">
        <f>'Assum-IL'!$C$49*(H30+H31)</f>
        <v>170.1</v>
      </c>
      <c r="I32" s="9">
        <f>'Assum-IL'!$C$49*(I30+I31)</f>
        <v>170.1</v>
      </c>
      <c r="J32" s="9">
        <f>'Assum-IL'!$C$49*(J30+J31)</f>
        <v>170.1</v>
      </c>
      <c r="K32" s="9">
        <f>'Assum-IL'!$C$49*(K30+K31)</f>
        <v>170.1</v>
      </c>
      <c r="L32" s="9">
        <f>'Assum-IL'!$C$49*(L30+L31)</f>
        <v>170.1</v>
      </c>
      <c r="M32" s="9">
        <f>'Assum-IL'!$C$49*(M30+M31)</f>
        <v>170.1</v>
      </c>
      <c r="N32" s="9">
        <f>'Assum-IL'!$C$49*(N30+N31)</f>
        <v>170.1</v>
      </c>
      <c r="O32" s="9">
        <f>'Assum-IL'!$C$49*(O30+O31)</f>
        <v>170.1</v>
      </c>
      <c r="P32" s="9">
        <f>'Assum-IL'!$C$49*(P30+P31)</f>
        <v>170.1</v>
      </c>
      <c r="Q32" s="9">
        <f>'Assum-IL'!$C$49*(Q30+Q31)</f>
        <v>170.1</v>
      </c>
      <c r="R32" s="9">
        <f>'Assum-IL'!$C$49*(R30+R31)</f>
        <v>170.1</v>
      </c>
      <c r="S32" s="9">
        <f>'Assum-IL'!$C$49*(S30+S31)</f>
        <v>170.1</v>
      </c>
      <c r="T32" s="9">
        <f>'Assum-IL'!$C$49*(T30+T31)</f>
        <v>170.1</v>
      </c>
      <c r="U32" s="9">
        <f>'Assum-IL'!$C$49*(U30+U31)</f>
        <v>170.1</v>
      </c>
      <c r="V32" s="9">
        <f>'Assum-IL'!$C$49*(V30+V31)</f>
        <v>170.1</v>
      </c>
      <c r="W32" s="9">
        <f>'Assum-IL'!$C$49*(W30+W31)</f>
        <v>170.1</v>
      </c>
      <c r="X32" s="9">
        <f>'Assum-IL'!$C$49*(X30+X31)</f>
        <v>56.7</v>
      </c>
    </row>
    <row r="33" spans="1:24">
      <c r="A33" s="32" t="s">
        <v>128</v>
      </c>
      <c r="B33" s="31"/>
      <c r="C33" s="31"/>
      <c r="D33" s="31">
        <f>D30+D31+D32</f>
        <v>729</v>
      </c>
      <c r="E33" s="31">
        <f t="shared" ref="E33:W33" si="10">E30+E31+E32</f>
        <v>1312.2</v>
      </c>
      <c r="F33" s="31">
        <f t="shared" si="10"/>
        <v>1530.8999999999999</v>
      </c>
      <c r="G33" s="31">
        <f t="shared" si="10"/>
        <v>1530.8999999999999</v>
      </c>
      <c r="H33" s="31">
        <f t="shared" si="10"/>
        <v>1530.8999999999999</v>
      </c>
      <c r="I33" s="31">
        <f t="shared" si="10"/>
        <v>1530.8999999999999</v>
      </c>
      <c r="J33" s="31">
        <f t="shared" si="10"/>
        <v>1530.8999999999999</v>
      </c>
      <c r="K33" s="31">
        <f t="shared" si="10"/>
        <v>1530.8999999999999</v>
      </c>
      <c r="L33" s="31">
        <f t="shared" si="10"/>
        <v>1530.8999999999999</v>
      </c>
      <c r="M33" s="31">
        <f t="shared" si="10"/>
        <v>1530.8999999999999</v>
      </c>
      <c r="N33" s="31">
        <f t="shared" si="10"/>
        <v>1530.8999999999999</v>
      </c>
      <c r="O33" s="31">
        <f t="shared" si="10"/>
        <v>1530.8999999999999</v>
      </c>
      <c r="P33" s="31">
        <f t="shared" si="10"/>
        <v>1530.8999999999999</v>
      </c>
      <c r="Q33" s="31">
        <f t="shared" si="10"/>
        <v>1530.8999999999999</v>
      </c>
      <c r="R33" s="31">
        <f t="shared" si="10"/>
        <v>1530.8999999999999</v>
      </c>
      <c r="S33" s="31">
        <f t="shared" si="10"/>
        <v>1530.8999999999999</v>
      </c>
      <c r="T33" s="31">
        <f t="shared" si="10"/>
        <v>1530.8999999999999</v>
      </c>
      <c r="U33" s="31">
        <f t="shared" si="10"/>
        <v>1530.8999999999999</v>
      </c>
      <c r="V33" s="31">
        <f t="shared" si="10"/>
        <v>1530.8999999999999</v>
      </c>
      <c r="W33" s="31">
        <f t="shared" si="10"/>
        <v>1530.8999999999999</v>
      </c>
      <c r="X33" s="31">
        <f>X30+X31+X32</f>
        <v>510.3</v>
      </c>
    </row>
    <row r="34" spans="1:24">
      <c r="A34" s="32"/>
      <c r="B34" s="31"/>
      <c r="C34" s="31"/>
      <c r="D34" s="31"/>
      <c r="E34" s="31"/>
      <c r="F34" s="31"/>
      <c r="G34" s="31"/>
      <c r="H34" s="31"/>
      <c r="I34" s="31"/>
      <c r="J34" s="31"/>
      <c r="K34" s="31"/>
      <c r="L34" s="31"/>
      <c r="M34" s="31"/>
      <c r="N34" s="31"/>
      <c r="O34" s="31"/>
      <c r="P34" s="31"/>
      <c r="Q34" s="31"/>
      <c r="R34" s="31"/>
      <c r="S34" s="31"/>
      <c r="T34" s="31"/>
      <c r="U34" s="31"/>
      <c r="V34" s="31"/>
      <c r="W34" s="31"/>
      <c r="X34" s="31"/>
    </row>
    <row r="35" spans="1:24">
      <c r="A35" s="84" t="s">
        <v>144</v>
      </c>
      <c r="B35" s="31"/>
      <c r="C35" s="31"/>
      <c r="D35" s="32">
        <f t="shared" ref="D35:W35" si="11">D30-D10-D11-D18</f>
        <v>274.39999999999998</v>
      </c>
      <c r="E35" s="32">
        <f t="shared" si="11"/>
        <v>500.76</v>
      </c>
      <c r="F35" s="32">
        <f t="shared" si="11"/>
        <v>590.73599999999999</v>
      </c>
      <c r="G35" s="32">
        <f t="shared" si="11"/>
        <v>584.00459999999998</v>
      </c>
      <c r="H35" s="32">
        <f t="shared" si="11"/>
        <v>576.45380999999998</v>
      </c>
      <c r="I35" s="32">
        <f t="shared" si="11"/>
        <v>567.95117849999997</v>
      </c>
      <c r="J35" s="32">
        <f t="shared" si="11"/>
        <v>558.33984322499998</v>
      </c>
      <c r="K35" s="32">
        <f t="shared" si="11"/>
        <v>547.43380376624998</v>
      </c>
      <c r="L35" s="32">
        <f t="shared" si="11"/>
        <v>535.01226157256247</v>
      </c>
      <c r="M35" s="32">
        <f t="shared" si="11"/>
        <v>520.81284191099064</v>
      </c>
      <c r="N35" s="32">
        <f t="shared" si="11"/>
        <v>504.52347544832026</v>
      </c>
      <c r="O35" s="32">
        <f t="shared" si="11"/>
        <v>485.77267275389408</v>
      </c>
      <c r="P35" s="32">
        <f t="shared" si="11"/>
        <v>464.1178718147026</v>
      </c>
      <c r="Q35" s="32">
        <f t="shared" si="11"/>
        <v>439.03147481483097</v>
      </c>
      <c r="R35" s="32">
        <f t="shared" si="11"/>
        <v>409.88411383866656</v>
      </c>
      <c r="S35" s="32">
        <f t="shared" si="11"/>
        <v>375.92459326131734</v>
      </c>
      <c r="T35" s="32">
        <f t="shared" si="11"/>
        <v>336.25584633134912</v>
      </c>
      <c r="U35" s="32">
        <f t="shared" si="11"/>
        <v>289.80611115939104</v>
      </c>
      <c r="V35" s="32">
        <f t="shared" si="11"/>
        <v>235.29437259655708</v>
      </c>
      <c r="W35" s="32">
        <f t="shared" si="11"/>
        <v>171.18892603339035</v>
      </c>
      <c r="X35" s="32">
        <f>X30-X10-X11-X18</f>
        <v>-6.788102839345747</v>
      </c>
    </row>
    <row r="36" spans="1:24">
      <c r="A36" s="84" t="s">
        <v>121</v>
      </c>
      <c r="B36" s="31"/>
      <c r="C36" s="31"/>
      <c r="D36" s="32">
        <f t="shared" ref="D36:W36" si="12">D35-D16-D17-D20</f>
        <v>181.40419454761903</v>
      </c>
      <c r="E36" s="32">
        <f t="shared" si="12"/>
        <v>400.82495521428575</v>
      </c>
      <c r="F36" s="32">
        <f t="shared" si="12"/>
        <v>496.84821860714294</v>
      </c>
      <c r="G36" s="32">
        <f t="shared" si="12"/>
        <v>500.63885146428584</v>
      </c>
      <c r="H36" s="32">
        <f t="shared" si="12"/>
        <v>503.6020965357144</v>
      </c>
      <c r="I36" s="32">
        <f t="shared" si="12"/>
        <v>505.60413968928583</v>
      </c>
      <c r="J36" s="32">
        <f t="shared" si="12"/>
        <v>506.48649533767855</v>
      </c>
      <c r="K36" s="32">
        <f t="shared" si="12"/>
        <v>499.00408467877674</v>
      </c>
      <c r="L36" s="32">
        <f t="shared" si="12"/>
        <v>486.46237100698704</v>
      </c>
      <c r="M36" s="32">
        <f t="shared" si="12"/>
        <v>472.12479323187642</v>
      </c>
      <c r="N36" s="32">
        <f t="shared" si="12"/>
        <v>455.67598707615264</v>
      </c>
      <c r="O36" s="32">
        <f t="shared" si="12"/>
        <v>436.74052429541513</v>
      </c>
      <c r="P36" s="32">
        <f t="shared" si="12"/>
        <v>414.87113217527036</v>
      </c>
      <c r="Q36" s="32">
        <f t="shared" si="12"/>
        <v>389.53457672700631</v>
      </c>
      <c r="R36" s="32">
        <f t="shared" si="12"/>
        <v>360.09474412995991</v>
      </c>
      <c r="S36" s="32">
        <f t="shared" si="12"/>
        <v>325.79236205060079</v>
      </c>
      <c r="T36" s="32">
        <f t="shared" si="12"/>
        <v>285.72069098342149</v>
      </c>
      <c r="U36" s="32">
        <f t="shared" si="12"/>
        <v>238.79638199527102</v>
      </c>
      <c r="V36" s="32">
        <f t="shared" si="12"/>
        <v>183.72453675889017</v>
      </c>
      <c r="W36" s="32">
        <f t="shared" si="12"/>
        <v>132.74071261721679</v>
      </c>
      <c r="X36" s="32">
        <f>X35-X16-X17-X20</f>
        <v>-11.122649501917772</v>
      </c>
    </row>
    <row r="37" spans="1:24">
      <c r="A37" s="84" t="s">
        <v>122</v>
      </c>
      <c r="B37" s="31"/>
      <c r="C37" s="31"/>
      <c r="D37" s="2">
        <f>'Tax Calc_IL'!B16</f>
        <v>41.994257926735706</v>
      </c>
      <c r="E37" s="2">
        <f>'Tax Calc_IL'!C16</f>
        <v>122.99432932733572</v>
      </c>
      <c r="F37" s="2">
        <f>'Tax Calc_IL'!D16</f>
        <v>158.61334711706786</v>
      </c>
      <c r="G37" s="2">
        <f>'Tax Calc_IL'!E16</f>
        <v>162.46903730333574</v>
      </c>
      <c r="H37" s="2">
        <f>'Tax Calc_IL'!F16</f>
        <v>165.68869535952055</v>
      </c>
      <c r="I37" s="2">
        <f>'Tax Calc_IL'!G16</f>
        <v>168.27702980636479</v>
      </c>
      <c r="J37" s="2">
        <f>'Tax Calc_IL'!H16</f>
        <v>170.22313739625699</v>
      </c>
      <c r="K37" s="2">
        <f>'Tax Calc_IL'!I16</f>
        <v>169.10120951315926</v>
      </c>
      <c r="L37" s="2">
        <f>'Tax Calc_IL'!J16</f>
        <v>166.06629305855049</v>
      </c>
      <c r="M37" s="2">
        <f>'Tax Calc_IL'!K16</f>
        <v>162.25464363465215</v>
      </c>
      <c r="N37" s="2">
        <f>'Tax Calc_IL'!L16</f>
        <v>157.58222843341881</v>
      </c>
      <c r="O37" s="2">
        <f>'Tax Calc_IL'!M16</f>
        <v>151.94130380834196</v>
      </c>
      <c r="P37" s="2">
        <f>'Tax Calc_IL'!N16</f>
        <v>145.1968874628831</v>
      </c>
      <c r="Q37" s="2">
        <f>'Tax Calc_IL'!O16</f>
        <v>137.18236686114696</v>
      </c>
      <c r="R37" s="2">
        <f>'Tax Calc_IL'!P16</f>
        <v>127.69409592520988</v>
      </c>
      <c r="S37" s="2">
        <f>'Tax Calc_IL'!Q16</f>
        <v>116.48479897781039</v>
      </c>
      <c r="T37" s="2">
        <f>'Tax Calc_IL'!R16</f>
        <v>103.2555616991756</v>
      </c>
      <c r="U37" s="2">
        <f>'Tax Calc_IL'!S16</f>
        <v>87.646142297175672</v>
      </c>
      <c r="V37" s="2">
        <f>'Tax Calc_IL'!T16</f>
        <v>69.223280598125484</v>
      </c>
      <c r="W37" s="2">
        <f>'Tax Calc_IL'!U16</f>
        <v>47.518247126112676</v>
      </c>
      <c r="X37" s="2">
        <f>'Tax Calc_IL'!V16</f>
        <v>0</v>
      </c>
    </row>
    <row r="38" spans="1:24">
      <c r="A38" s="84" t="s">
        <v>125</v>
      </c>
      <c r="B38" s="31"/>
      <c r="C38" s="31"/>
      <c r="D38" s="32">
        <f>D36-D37</f>
        <v>139.40993662088331</v>
      </c>
      <c r="E38" s="32">
        <f t="shared" ref="E38:W38" si="13">E36-E37</f>
        <v>277.83062588695003</v>
      </c>
      <c r="F38" s="32">
        <f t="shared" si="13"/>
        <v>338.23487149007508</v>
      </c>
      <c r="G38" s="32">
        <f t="shared" si="13"/>
        <v>338.16981416095007</v>
      </c>
      <c r="H38" s="32">
        <f t="shared" si="13"/>
        <v>337.91340117619382</v>
      </c>
      <c r="I38" s="32">
        <f t="shared" si="13"/>
        <v>337.32710988292104</v>
      </c>
      <c r="J38" s="32">
        <f t="shared" si="13"/>
        <v>336.26335794142153</v>
      </c>
      <c r="K38" s="32">
        <f t="shared" si="13"/>
        <v>329.9028751656175</v>
      </c>
      <c r="L38" s="32">
        <f t="shared" si="13"/>
        <v>320.39607794843653</v>
      </c>
      <c r="M38" s="32">
        <f t="shared" si="13"/>
        <v>309.87014959722427</v>
      </c>
      <c r="N38" s="32">
        <f t="shared" si="13"/>
        <v>298.09375864273386</v>
      </c>
      <c r="O38" s="32">
        <f t="shared" si="13"/>
        <v>284.79922048707317</v>
      </c>
      <c r="P38" s="32">
        <f t="shared" si="13"/>
        <v>269.67424471238724</v>
      </c>
      <c r="Q38" s="32">
        <f t="shared" si="13"/>
        <v>252.35220986585935</v>
      </c>
      <c r="R38" s="32">
        <f t="shared" si="13"/>
        <v>232.40064820475004</v>
      </c>
      <c r="S38" s="32">
        <f t="shared" si="13"/>
        <v>209.3075630727904</v>
      </c>
      <c r="T38" s="32">
        <f t="shared" si="13"/>
        <v>182.4651292842459</v>
      </c>
      <c r="U38" s="32">
        <f t="shared" si="13"/>
        <v>151.15023969809533</v>
      </c>
      <c r="V38" s="32">
        <f t="shared" si="13"/>
        <v>114.50125616076468</v>
      </c>
      <c r="W38" s="32">
        <f t="shared" si="13"/>
        <v>85.222465491104117</v>
      </c>
      <c r="X38" s="32">
        <f>X36-X37</f>
        <v>-11.122649501917772</v>
      </c>
    </row>
    <row r="39" spans="1:24">
      <c r="A39" s="84" t="s">
        <v>124</v>
      </c>
      <c r="B39" s="31"/>
      <c r="C39" s="2">
        <f>-'Prj Cost-IL'!C13</f>
        <v>-855</v>
      </c>
      <c r="D39" s="32">
        <f t="shared" ref="D39:W39" si="14">D38+D16+D17+D20+D22</f>
        <v>232.40574207326426</v>
      </c>
      <c r="E39" s="32">
        <f t="shared" si="14"/>
        <v>377.76567067266433</v>
      </c>
      <c r="F39" s="32">
        <f t="shared" si="14"/>
        <v>432.12265288293219</v>
      </c>
      <c r="G39" s="32">
        <f t="shared" si="14"/>
        <v>421.53556269666433</v>
      </c>
      <c r="H39" s="32">
        <f t="shared" si="14"/>
        <v>410.76511464047951</v>
      </c>
      <c r="I39" s="32">
        <f t="shared" si="14"/>
        <v>399.67414869363529</v>
      </c>
      <c r="J39" s="32">
        <f t="shared" si="14"/>
        <v>388.11670582874291</v>
      </c>
      <c r="K39" s="32">
        <f t="shared" si="14"/>
        <v>378.33259425309069</v>
      </c>
      <c r="L39" s="32">
        <f t="shared" si="14"/>
        <v>368.94596851401195</v>
      </c>
      <c r="M39" s="32">
        <f t="shared" si="14"/>
        <v>358.55819827633849</v>
      </c>
      <c r="N39" s="32">
        <f t="shared" si="14"/>
        <v>346.94124701490148</v>
      </c>
      <c r="O39" s="32">
        <f t="shared" si="14"/>
        <v>333.83136894555213</v>
      </c>
      <c r="P39" s="32">
        <f t="shared" si="14"/>
        <v>318.92098435181947</v>
      </c>
      <c r="Q39" s="32">
        <f t="shared" si="14"/>
        <v>301.84910795368404</v>
      </c>
      <c r="R39" s="32">
        <f t="shared" si="14"/>
        <v>282.1900179134567</v>
      </c>
      <c r="S39" s="32">
        <f t="shared" si="14"/>
        <v>259.43979428350696</v>
      </c>
      <c r="T39" s="32">
        <f t="shared" si="14"/>
        <v>233.00028463217353</v>
      </c>
      <c r="U39" s="32">
        <f t="shared" si="14"/>
        <v>202.15996886221535</v>
      </c>
      <c r="V39" s="32">
        <f t="shared" si="14"/>
        <v>166.0710919984316</v>
      </c>
      <c r="W39" s="32">
        <f t="shared" si="14"/>
        <v>123.67067890727765</v>
      </c>
      <c r="X39" s="32">
        <f>X38+X16+X17+X20+X22</f>
        <v>66.251897160654124</v>
      </c>
    </row>
    <row r="40" spans="1:24">
      <c r="B40" s="3" t="s">
        <v>126</v>
      </c>
      <c r="C40" s="37">
        <f>IRR(C39:X39)</f>
        <v>0.40837907806117063</v>
      </c>
    </row>
    <row r="43" spans="1:24">
      <c r="C43" s="93"/>
    </row>
  </sheetData>
  <phoneticPr fontId="0" type="noConversion"/>
  <pageMargins left="0" right="0" top="0" bottom="0" header="0" footer="0"/>
  <pageSetup scale="53"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tabColor rgb="FF92D050"/>
    <pageSetUpPr fitToPage="1"/>
  </sheetPr>
  <dimension ref="B1:L23"/>
  <sheetViews>
    <sheetView showGridLines="0" topLeftCell="B1" zoomScale="80" zoomScaleNormal="80" workbookViewId="0">
      <selection activeCell="B27" sqref="B27"/>
    </sheetView>
  </sheetViews>
  <sheetFormatPr defaultColWidth="0" defaultRowHeight="13.5"/>
  <cols>
    <col min="1" max="1" width="0" style="95" hidden="1" customWidth="1"/>
    <col min="2" max="2" width="43.5703125" style="95" customWidth="1"/>
    <col min="3" max="3" width="13.140625" style="95" customWidth="1"/>
    <col min="4" max="4" width="43.5703125" style="95" customWidth="1"/>
    <col min="5" max="5" width="13.140625" style="95" customWidth="1"/>
    <col min="6" max="6" width="43.5703125" style="95" customWidth="1"/>
    <col min="7" max="7" width="38.28515625" style="95" customWidth="1"/>
    <col min="8" max="8" width="11.42578125" style="95" hidden="1" customWidth="1"/>
    <col min="9" max="16384" width="0" style="95" hidden="1"/>
  </cols>
  <sheetData>
    <row r="1" spans="2:12" ht="15">
      <c r="B1" s="91"/>
      <c r="C1" s="91"/>
      <c r="D1" s="91"/>
      <c r="E1" s="91"/>
      <c r="F1" s="91"/>
    </row>
    <row r="2" spans="2:12" s="94" customFormat="1"/>
    <row r="3" spans="2:12" ht="25.5">
      <c r="B3" s="114" t="s">
        <v>290</v>
      </c>
    </row>
    <row r="4" spans="2:12">
      <c r="L4" s="97"/>
    </row>
    <row r="5" spans="2:12" ht="15">
      <c r="B5" s="115" t="s">
        <v>22</v>
      </c>
      <c r="C5" s="115" t="s">
        <v>267</v>
      </c>
      <c r="D5" s="115" t="s">
        <v>269</v>
      </c>
      <c r="E5" s="115" t="s">
        <v>268</v>
      </c>
      <c r="F5" s="115" t="s">
        <v>269</v>
      </c>
      <c r="G5" s="97"/>
      <c r="L5" s="97"/>
    </row>
    <row r="6" spans="2:12" ht="15">
      <c r="B6" s="116"/>
      <c r="C6" s="116"/>
      <c r="D6" s="116"/>
      <c r="E6" s="116"/>
      <c r="F6" s="116"/>
      <c r="L6" s="97"/>
    </row>
    <row r="7" spans="2:12" ht="38.25">
      <c r="B7" s="96" t="s">
        <v>38</v>
      </c>
      <c r="C7" s="117">
        <v>200</v>
      </c>
      <c r="D7" s="118" t="s">
        <v>274</v>
      </c>
      <c r="E7" s="96"/>
      <c r="F7" s="96"/>
      <c r="L7" s="97"/>
    </row>
    <row r="8" spans="2:12" ht="38.25">
      <c r="B8" s="96" t="s">
        <v>71</v>
      </c>
      <c r="C8" s="117">
        <v>339.4</v>
      </c>
      <c r="D8" s="118" t="s">
        <v>274</v>
      </c>
      <c r="E8" s="96"/>
      <c r="F8" s="96"/>
      <c r="L8" s="97"/>
    </row>
    <row r="9" spans="2:12" ht="51">
      <c r="B9" s="119" t="s">
        <v>36</v>
      </c>
      <c r="C9" s="120">
        <f>809.05*(1+'Assum-CFL'!$C$67+'Assum-CFL'!$C$73)-97.67</f>
        <v>836.78274999999996</v>
      </c>
      <c r="D9" s="118" t="s">
        <v>274</v>
      </c>
      <c r="E9" s="96">
        <f>619.91*(1+'Assum-CFL'!$C$67+'Assum-CFL'!$C$73)-56.35</f>
        <v>659.64604999999995</v>
      </c>
      <c r="F9" s="118" t="s">
        <v>278</v>
      </c>
      <c r="L9" s="97"/>
    </row>
    <row r="10" spans="2:12" ht="40.5">
      <c r="B10" s="119" t="s">
        <v>276</v>
      </c>
      <c r="C10" s="117">
        <v>15</v>
      </c>
      <c r="D10" s="118" t="s">
        <v>274</v>
      </c>
      <c r="E10" s="96"/>
      <c r="F10" s="96"/>
      <c r="L10" s="97"/>
    </row>
    <row r="11" spans="2:12" ht="38.25">
      <c r="B11" s="96" t="s">
        <v>72</v>
      </c>
      <c r="C11" s="117">
        <v>29.09</v>
      </c>
      <c r="D11" s="118" t="s">
        <v>274</v>
      </c>
      <c r="E11" s="96"/>
      <c r="F11" s="96"/>
      <c r="L11" s="97"/>
    </row>
    <row r="12" spans="2:12" ht="38.25">
      <c r="B12" s="96" t="s">
        <v>73</v>
      </c>
      <c r="C12" s="117">
        <v>30</v>
      </c>
      <c r="D12" s="118" t="s">
        <v>274</v>
      </c>
      <c r="E12" s="96"/>
      <c r="F12" s="96"/>
      <c r="K12" s="97"/>
    </row>
    <row r="13" spans="2:12" ht="38.25">
      <c r="B13" s="96" t="s">
        <v>74</v>
      </c>
      <c r="C13" s="117">
        <v>58.15</v>
      </c>
      <c r="D13" s="118" t="s">
        <v>274</v>
      </c>
      <c r="E13" s="96"/>
      <c r="F13" s="96"/>
    </row>
    <row r="14" spans="2:12" ht="38.25">
      <c r="B14" s="96" t="s">
        <v>75</v>
      </c>
      <c r="C14" s="117">
        <v>89.31</v>
      </c>
      <c r="D14" s="118" t="s">
        <v>274</v>
      </c>
      <c r="E14" s="96"/>
      <c r="F14" s="96"/>
    </row>
    <row r="19" spans="2:7">
      <c r="B19" s="97"/>
      <c r="C19" s="97"/>
      <c r="D19" s="97"/>
      <c r="E19" s="97"/>
      <c r="F19" s="97"/>
    </row>
    <row r="21" spans="2:7">
      <c r="G21" s="97"/>
    </row>
    <row r="23" spans="2:7">
      <c r="G23" s="97"/>
    </row>
  </sheetData>
  <phoneticPr fontId="0" type="noConversion"/>
  <printOptions horizontalCentered="1" verticalCentered="1"/>
  <pageMargins left="0" right="0" top="0" bottom="0" header="0" footer="0"/>
  <pageSetup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Sheet3">
    <tabColor rgb="FF92D050"/>
    <pageSetUpPr fitToPage="1"/>
  </sheetPr>
  <dimension ref="A2:Y38"/>
  <sheetViews>
    <sheetView showGridLines="0" zoomScale="80" zoomScaleNormal="80" workbookViewId="0">
      <pane xSplit="1" ySplit="6" topLeftCell="B7" activePane="bottomRight" state="frozen"/>
      <selection activeCell="H28" sqref="H28"/>
      <selection pane="topRight" activeCell="H28" sqref="H28"/>
      <selection pane="bottomLeft" activeCell="H28" sqref="H28"/>
      <selection pane="bottomRight" activeCell="E10" sqref="E10"/>
    </sheetView>
  </sheetViews>
  <sheetFormatPr defaultColWidth="6.42578125" defaultRowHeight="13.5"/>
  <cols>
    <col min="1" max="1" width="43.85546875" style="4" customWidth="1"/>
    <col min="2" max="2" width="20.140625" style="4" bestFit="1" customWidth="1"/>
    <col min="3" max="3" width="7.140625" style="4" bestFit="1" customWidth="1"/>
    <col min="4" max="5" width="8.140625" style="4" bestFit="1" customWidth="1"/>
    <col min="6" max="6" width="10.140625" style="4" bestFit="1" customWidth="1"/>
    <col min="7" max="7" width="8.140625" style="4" bestFit="1" customWidth="1"/>
    <col min="8" max="8" width="8.140625" style="4" customWidth="1"/>
    <col min="9" max="23" width="8.140625" style="4" bestFit="1" customWidth="1"/>
    <col min="24" max="24" width="7" style="4" bestFit="1" customWidth="1"/>
    <col min="25" max="255" width="9.140625" style="6" customWidth="1"/>
    <col min="256" max="256" width="6.42578125" style="6" bestFit="1"/>
    <col min="257" max="16384" width="6.42578125" style="6"/>
  </cols>
  <sheetData>
    <row r="2" spans="1:24" ht="26.25">
      <c r="A2" s="121" t="s">
        <v>291</v>
      </c>
    </row>
    <row r="5" spans="1:24" ht="13.5" customHeight="1">
      <c r="A5" s="77" t="s">
        <v>40</v>
      </c>
      <c r="B5" s="2" t="s">
        <v>94</v>
      </c>
      <c r="C5" s="2"/>
    </row>
    <row r="6" spans="1:24" ht="15">
      <c r="A6" s="194"/>
      <c r="B6" s="194"/>
      <c r="C6" s="194"/>
      <c r="D6" s="194"/>
      <c r="E6" s="194"/>
      <c r="F6" s="194"/>
      <c r="G6" s="194"/>
      <c r="H6" s="194"/>
      <c r="I6" s="194"/>
      <c r="J6" s="194"/>
      <c r="K6" s="194"/>
      <c r="L6" s="194"/>
      <c r="M6" s="194"/>
      <c r="N6" s="6"/>
      <c r="O6" s="6"/>
      <c r="P6" s="6"/>
      <c r="Q6" s="6"/>
      <c r="R6" s="6"/>
      <c r="S6" s="6"/>
      <c r="T6" s="6"/>
      <c r="U6" s="6"/>
      <c r="V6" s="6"/>
      <c r="W6" s="6"/>
      <c r="X6" s="6"/>
    </row>
    <row r="7" spans="1:24" ht="13.5" customHeight="1">
      <c r="A7" s="122" t="s">
        <v>1</v>
      </c>
      <c r="B7" s="122"/>
      <c r="C7" s="123" t="s">
        <v>2</v>
      </c>
      <c r="D7" s="123" t="s">
        <v>3</v>
      </c>
      <c r="E7" s="123" t="s">
        <v>4</v>
      </c>
      <c r="F7" s="123" t="s">
        <v>5</v>
      </c>
      <c r="G7" s="123" t="s">
        <v>6</v>
      </c>
      <c r="H7" s="123" t="s">
        <v>7</v>
      </c>
      <c r="I7" s="123" t="s">
        <v>8</v>
      </c>
      <c r="J7" s="123" t="s">
        <v>9</v>
      </c>
      <c r="K7" s="123" t="s">
        <v>10</v>
      </c>
      <c r="L7" s="123" t="s">
        <v>11</v>
      </c>
      <c r="M7" s="123" t="s">
        <v>12</v>
      </c>
      <c r="N7" s="123" t="s">
        <v>13</v>
      </c>
      <c r="O7" s="123" t="s">
        <v>14</v>
      </c>
      <c r="P7" s="123" t="s">
        <v>15</v>
      </c>
      <c r="Q7" s="123" t="s">
        <v>16</v>
      </c>
      <c r="R7" s="123" t="s">
        <v>17</v>
      </c>
      <c r="S7" s="123" t="s">
        <v>18</v>
      </c>
      <c r="T7" s="123" t="s">
        <v>19</v>
      </c>
      <c r="U7" s="123" t="s">
        <v>20</v>
      </c>
      <c r="V7" s="123" t="s">
        <v>21</v>
      </c>
      <c r="W7" s="123" t="s">
        <v>234</v>
      </c>
    </row>
    <row r="8" spans="1:24" ht="13.5" customHeight="1">
      <c r="A8" s="2" t="s">
        <v>41</v>
      </c>
      <c r="B8" s="2"/>
      <c r="C8" s="11">
        <f>+(('P&amp;L-CFL'!D11*'Operation &amp; WC-CFL'!$C$17)+('P&amp;L-CFL'!D12*'Operation &amp; WC-CFL'!$C$18))/100000</f>
        <v>179.52</v>
      </c>
      <c r="D8" s="11">
        <f>+(('P&amp;L-CFL'!E11*'Operation &amp; WC-CFL'!$C$17)+('P&amp;L-CFL'!E12*'Operation &amp; WC-CFL'!$C$18))/100000</f>
        <v>403.92</v>
      </c>
      <c r="E8" s="11">
        <f>+(('P&amp;L-CFL'!F11*'Operation &amp; WC-CFL'!$C$17)+('P&amp;L-CFL'!F12*'Operation &amp; WC-CFL'!$C$18))/100000</f>
        <v>700.12800000000004</v>
      </c>
      <c r="F8" s="11">
        <f>+(('P&amp;L-CFL'!G11*'Operation &amp; WC-CFL'!$C$17)+('P&amp;L-CFL'!G12*'Operation &amp; WC-CFL'!$C$18))/100000</f>
        <v>753.98400000000004</v>
      </c>
      <c r="G8" s="11">
        <f>+(('P&amp;L-CFL'!H11*'Operation &amp; WC-CFL'!$C$17)+('P&amp;L-CFL'!H12*'Operation &amp; WC-CFL'!$C$18))/100000</f>
        <v>753.98400000000004</v>
      </c>
      <c r="H8" s="11">
        <f>+(('P&amp;L-CFL'!I11*'Operation &amp; WC-CFL'!$C$17)+('P&amp;L-CFL'!I12*'Operation &amp; WC-CFL'!$C$18))/100000</f>
        <v>753.98400000000004</v>
      </c>
      <c r="I8" s="11">
        <f>+(('P&amp;L-CFL'!J11*'Operation &amp; WC-CFL'!$C$17)+('P&amp;L-CFL'!J12*'Operation &amp; WC-CFL'!$C$18))/100000</f>
        <v>753.98400000000004</v>
      </c>
      <c r="J8" s="11">
        <f>+(('P&amp;L-CFL'!K11*'Operation &amp; WC-CFL'!$C$17)+('P&amp;L-CFL'!K12*'Operation &amp; WC-CFL'!$C$18))/100000</f>
        <v>753.98400000000004</v>
      </c>
      <c r="K8" s="11">
        <f>+(('P&amp;L-CFL'!L11*'Operation &amp; WC-CFL'!$C$17)+('P&amp;L-CFL'!L12*'Operation &amp; WC-CFL'!$C$18))/100000</f>
        <v>753.98400000000004</v>
      </c>
      <c r="L8" s="11">
        <f>+(('P&amp;L-CFL'!M11*'Operation &amp; WC-CFL'!$C$17)+('P&amp;L-CFL'!M12*'Operation &amp; WC-CFL'!$C$18))/100000</f>
        <v>753.98400000000004</v>
      </c>
      <c r="M8" s="11">
        <f>+(('P&amp;L-CFL'!N11*'Operation &amp; WC-CFL'!$C$17)+('P&amp;L-CFL'!N12*'Operation &amp; WC-CFL'!$C$18))/100000</f>
        <v>753.98400000000004</v>
      </c>
      <c r="N8" s="11">
        <f>+(('P&amp;L-CFL'!O11*'Operation &amp; WC-CFL'!$C$17)+('P&amp;L-CFL'!O12*'Operation &amp; WC-CFL'!$C$18))/100000</f>
        <v>753.98400000000004</v>
      </c>
      <c r="O8" s="11">
        <f>+(('P&amp;L-CFL'!P11*'Operation &amp; WC-CFL'!$C$17)+('P&amp;L-CFL'!P12*'Operation &amp; WC-CFL'!$C$18))/100000</f>
        <v>753.98400000000004</v>
      </c>
      <c r="P8" s="11">
        <f>+(('P&amp;L-CFL'!Q11*'Operation &amp; WC-CFL'!$C$17)+('P&amp;L-CFL'!Q12*'Operation &amp; WC-CFL'!$C$18))/100000</f>
        <v>753.98400000000004</v>
      </c>
      <c r="Q8" s="11">
        <f>+(('P&amp;L-CFL'!R11*'Operation &amp; WC-CFL'!$C$17)+('P&amp;L-CFL'!R12*'Operation &amp; WC-CFL'!$C$18))/100000</f>
        <v>753.98400000000004</v>
      </c>
      <c r="R8" s="11">
        <f>+(('P&amp;L-CFL'!S11*'Operation &amp; WC-CFL'!$C$17)+('P&amp;L-CFL'!S12*'Operation &amp; WC-CFL'!$C$18))/100000</f>
        <v>753.98400000000004</v>
      </c>
      <c r="S8" s="11">
        <f>+(('P&amp;L-CFL'!T11*'Operation &amp; WC-CFL'!$C$17)+('P&amp;L-CFL'!T12*'Operation &amp; WC-CFL'!$C$18))/100000</f>
        <v>753.98400000000004</v>
      </c>
      <c r="T8" s="11">
        <f>+(('P&amp;L-CFL'!U11*'Operation &amp; WC-CFL'!$C$17)+('P&amp;L-CFL'!U12*'Operation &amp; WC-CFL'!$C$18))/100000</f>
        <v>753.98400000000004</v>
      </c>
      <c r="U8" s="11">
        <f>+(('P&amp;L-CFL'!V11*'Operation &amp; WC-CFL'!$C$17)+('P&amp;L-CFL'!V12*'Operation &amp; WC-CFL'!$C$18))/100000</f>
        <v>753.98400000000004</v>
      </c>
      <c r="V8" s="11">
        <f>+(('P&amp;L-CFL'!W11*'Operation &amp; WC-CFL'!$C$17)+('P&amp;L-CFL'!W12*'Operation &amp; WC-CFL'!$C$18))/100000</f>
        <v>753.98400000000004</v>
      </c>
      <c r="W8" s="11">
        <f>+(('P&amp;L-CFL'!X11*'Operation &amp; WC-CFL'!$C$17)+('P&amp;L-CFL'!X12*'Operation &amp; WC-CFL'!$C$18))/100000</f>
        <v>251.328</v>
      </c>
    </row>
    <row r="9" spans="1:24" s="15" customFormat="1">
      <c r="A9" s="13" t="s">
        <v>42</v>
      </c>
      <c r="B9" s="13"/>
      <c r="C9" s="11">
        <f>'Assum-CFL'!$C$29*'P&amp;L-CFL'!D38</f>
        <v>34.992000000000004</v>
      </c>
      <c r="D9" s="11">
        <f>'Assum-CFL'!$C$29*'P&amp;L-CFL'!E38</f>
        <v>78.731999999999999</v>
      </c>
      <c r="E9" s="11">
        <f>'Assum-CFL'!$C$29*'P&amp;L-CFL'!F38</f>
        <v>136.46879999999999</v>
      </c>
      <c r="F9" s="11">
        <f>'Assum-CFL'!$C$29*'P&amp;L-CFL'!G38</f>
        <v>146.96639999999999</v>
      </c>
      <c r="G9" s="11">
        <f>'Assum-CFL'!$C$29*'P&amp;L-CFL'!H38</f>
        <v>146.96639999999999</v>
      </c>
      <c r="H9" s="11">
        <f>'Assum-CFL'!$C$29*'P&amp;L-CFL'!I38</f>
        <v>146.96639999999999</v>
      </c>
      <c r="I9" s="11">
        <f>'Assum-CFL'!$C$29*'P&amp;L-CFL'!J38</f>
        <v>146.96639999999999</v>
      </c>
      <c r="J9" s="11">
        <f>'Assum-CFL'!$C$29*'P&amp;L-CFL'!K38</f>
        <v>146.96639999999999</v>
      </c>
      <c r="K9" s="11">
        <f>'Assum-CFL'!$C$29*'P&amp;L-CFL'!L38</f>
        <v>146.96639999999999</v>
      </c>
      <c r="L9" s="11">
        <f>'Assum-CFL'!$C$29*'P&amp;L-CFL'!M38</f>
        <v>146.96639999999999</v>
      </c>
      <c r="M9" s="11">
        <f>'Assum-CFL'!$C$29*'P&amp;L-CFL'!N38</f>
        <v>146.96639999999999</v>
      </c>
      <c r="N9" s="11">
        <f>'Assum-CFL'!$C$29*'P&amp;L-CFL'!O38</f>
        <v>146.96639999999999</v>
      </c>
      <c r="O9" s="11">
        <f>'Assum-CFL'!$C$29*'P&amp;L-CFL'!P38</f>
        <v>146.96639999999999</v>
      </c>
      <c r="P9" s="11">
        <f>'Assum-CFL'!$C$29*'P&amp;L-CFL'!Q38</f>
        <v>146.96639999999999</v>
      </c>
      <c r="Q9" s="11">
        <f>'Assum-CFL'!$C$29*'P&amp;L-CFL'!R38</f>
        <v>146.96639999999999</v>
      </c>
      <c r="R9" s="11">
        <f>'Assum-CFL'!$C$29*'P&amp;L-CFL'!S38</f>
        <v>146.96639999999999</v>
      </c>
      <c r="S9" s="11">
        <f>'Assum-CFL'!$C$29*'P&amp;L-CFL'!T38</f>
        <v>146.96639999999999</v>
      </c>
      <c r="T9" s="11">
        <f>'Assum-CFL'!$C$29*'P&amp;L-CFL'!U38</f>
        <v>146.96639999999999</v>
      </c>
      <c r="U9" s="11">
        <f>'Assum-CFL'!$C$29*'P&amp;L-CFL'!V38</f>
        <v>146.96639999999999</v>
      </c>
      <c r="V9" s="11">
        <f>'Assum-CFL'!$C$29*'P&amp;L-CFL'!W38</f>
        <v>146.96639999999999</v>
      </c>
      <c r="W9" s="11">
        <f>'Assum-CFL'!$C$29*'P&amp;L-CFL'!X38</f>
        <v>48.988800000000005</v>
      </c>
      <c r="X9" s="22"/>
    </row>
    <row r="10" spans="1:24" ht="13.5" customHeight="1">
      <c r="A10" s="2" t="s">
        <v>43</v>
      </c>
      <c r="B10" s="2"/>
      <c r="C10" s="2">
        <f>'Assum-CFL'!C31</f>
        <v>79.759999999999991</v>
      </c>
      <c r="D10" s="2">
        <f>'Assum-CFL'!C32</f>
        <v>125.62199999999999</v>
      </c>
      <c r="E10" s="2">
        <f>D10*(1+'Assum-CFL'!$C$33)</f>
        <v>131.90309999999999</v>
      </c>
      <c r="F10" s="2">
        <f>E10*(1+'Assum-CFL'!$C$33)</f>
        <v>138.498255</v>
      </c>
      <c r="G10" s="2">
        <f>F10*(1+'Assum-CFL'!$C$33)</f>
        <v>145.42316775</v>
      </c>
      <c r="H10" s="2">
        <f>G10*(1+'Assum-CFL'!$C$33)</f>
        <v>152.69432613750001</v>
      </c>
      <c r="I10" s="2">
        <f>H10*(1+'Assum-CFL'!$C$33)</f>
        <v>160.32904244437503</v>
      </c>
      <c r="J10" s="2">
        <f>I10*(1+'Assum-CFL'!$C$33)</f>
        <v>168.3454945665938</v>
      </c>
      <c r="K10" s="2">
        <f>J10*(1+'Assum-CFL'!$C$33)</f>
        <v>176.76276929492349</v>
      </c>
      <c r="L10" s="2">
        <f>K10*(1+'Assum-CFL'!$C$33)</f>
        <v>185.60090775966967</v>
      </c>
      <c r="M10" s="2">
        <f>L10*(1+'Assum-CFL'!$C$33)</f>
        <v>194.88095314765314</v>
      </c>
      <c r="N10" s="2">
        <f>M10*(1+'Assum-CFL'!$C$33)</f>
        <v>204.62500080503582</v>
      </c>
      <c r="O10" s="2">
        <f>N10*(1+'Assum-CFL'!$C$33)</f>
        <v>214.85625084528763</v>
      </c>
      <c r="P10" s="2">
        <f>O10*(1+'Assum-CFL'!$C$33)</f>
        <v>225.59906338755204</v>
      </c>
      <c r="Q10" s="2">
        <f>P10*(1+'Assum-CFL'!$C$33)</f>
        <v>236.87901655692966</v>
      </c>
      <c r="R10" s="2">
        <f>Q10*(1+'Assum-CFL'!$C$33)</f>
        <v>248.72296738477615</v>
      </c>
      <c r="S10" s="2">
        <f>R10*(1+'Assum-CFL'!$C$33)</f>
        <v>261.15911575401498</v>
      </c>
      <c r="T10" s="2">
        <f>S10*(1+'Assum-CFL'!$C$33)</f>
        <v>274.21707154171571</v>
      </c>
      <c r="U10" s="2">
        <f>T10*(1+'Assum-CFL'!$C$33)</f>
        <v>287.92792511880151</v>
      </c>
      <c r="V10" s="2">
        <f>U10*(1+'Assum-CFL'!$C$33)</f>
        <v>302.3243213747416</v>
      </c>
      <c r="W10" s="2">
        <f>V10*(1+'Assum-CFL'!$C$33)</f>
        <v>317.44053744347872</v>
      </c>
    </row>
    <row r="11" spans="1:24" ht="13.5" customHeight="1">
      <c r="A11" s="2" t="s">
        <v>44</v>
      </c>
      <c r="B11" s="2"/>
      <c r="C11" s="2">
        <f>'Assum-CFL'!C35</f>
        <v>117.64666666666666</v>
      </c>
      <c r="D11" s="2">
        <f>'Assum-CFL'!C36</f>
        <v>209.48</v>
      </c>
      <c r="E11" s="2">
        <f>'Assum-CFL'!C37</f>
        <v>225.98</v>
      </c>
      <c r="F11" s="2">
        <f>'Assum-CFL'!C38</f>
        <v>242.49</v>
      </c>
      <c r="G11" s="2">
        <f>F11</f>
        <v>242.49</v>
      </c>
      <c r="H11" s="2">
        <f t="shared" ref="H11:W11" si="0">G11</f>
        <v>242.49</v>
      </c>
      <c r="I11" s="2">
        <f t="shared" si="0"/>
        <v>242.49</v>
      </c>
      <c r="J11" s="2">
        <f t="shared" si="0"/>
        <v>242.49</v>
      </c>
      <c r="K11" s="2">
        <f t="shared" si="0"/>
        <v>242.49</v>
      </c>
      <c r="L11" s="2">
        <f t="shared" si="0"/>
        <v>242.49</v>
      </c>
      <c r="M11" s="2">
        <f t="shared" si="0"/>
        <v>242.49</v>
      </c>
      <c r="N11" s="2">
        <f t="shared" si="0"/>
        <v>242.49</v>
      </c>
      <c r="O11" s="2">
        <f t="shared" si="0"/>
        <v>242.49</v>
      </c>
      <c r="P11" s="2">
        <f t="shared" si="0"/>
        <v>242.49</v>
      </c>
      <c r="Q11" s="2">
        <f t="shared" si="0"/>
        <v>242.49</v>
      </c>
      <c r="R11" s="2">
        <f t="shared" si="0"/>
        <v>242.49</v>
      </c>
      <c r="S11" s="2">
        <f t="shared" si="0"/>
        <v>242.49</v>
      </c>
      <c r="T11" s="2">
        <f t="shared" si="0"/>
        <v>242.49</v>
      </c>
      <c r="U11" s="2">
        <f t="shared" si="0"/>
        <v>242.49</v>
      </c>
      <c r="V11" s="2">
        <f t="shared" si="0"/>
        <v>242.49</v>
      </c>
      <c r="W11" s="2">
        <f t="shared" si="0"/>
        <v>242.49</v>
      </c>
    </row>
    <row r="12" spans="1:24" ht="13.5" customHeight="1">
      <c r="A12" s="6" t="s">
        <v>45</v>
      </c>
      <c r="B12" s="6"/>
      <c r="C12" s="14">
        <f>'Assum-CFL'!C39</f>
        <v>46.270719999999997</v>
      </c>
      <c r="D12" s="14">
        <f>C12*(1+'Assum-CFL'!$C$40)</f>
        <v>55.524863999999994</v>
      </c>
      <c r="E12" s="14">
        <f>D12*(1+'Assum-CFL'!$C$40)</f>
        <v>66.629836799999993</v>
      </c>
      <c r="F12" s="14">
        <f>E12*(1+'Assum-CFL'!$C$40)</f>
        <v>79.955804159999985</v>
      </c>
      <c r="G12" s="14">
        <f>F12*(1+'Assum-CFL'!$C$40)</f>
        <v>95.946964991999977</v>
      </c>
      <c r="H12" s="14">
        <f>G12*(1+'Assum-CFL'!$C$40)</f>
        <v>115.13635799039997</v>
      </c>
      <c r="I12" s="14">
        <f>H12*(1+'Assum-CFL'!$C$40)</f>
        <v>138.16362958847995</v>
      </c>
      <c r="J12" s="14">
        <f>I12*(1+'Assum-CFL'!$C$40)</f>
        <v>165.79635550617593</v>
      </c>
      <c r="K12" s="14">
        <f>J12*(1+'Assum-CFL'!$C$40)</f>
        <v>198.95562660741112</v>
      </c>
      <c r="L12" s="14">
        <f>K12*(1+'Assum-CFL'!$C$40)</f>
        <v>238.74675192889333</v>
      </c>
      <c r="M12" s="14">
        <f>L12*(1+'Assum-CFL'!$C$40)</f>
        <v>286.49610231467199</v>
      </c>
      <c r="N12" s="14">
        <f>M12*(1+'Assum-CFL'!$C$40)</f>
        <v>343.79532277760637</v>
      </c>
      <c r="O12" s="14">
        <f>N12*(1+'Assum-CFL'!$C$40)</f>
        <v>412.55438733312764</v>
      </c>
      <c r="P12" s="14">
        <f>O12*(1+'Assum-CFL'!$C$40)</f>
        <v>495.06526479975315</v>
      </c>
      <c r="Q12" s="14">
        <f>P12*(1+'Assum-CFL'!$C$40)</f>
        <v>594.07831775970374</v>
      </c>
      <c r="R12" s="14">
        <f>Q12*(1+'Assum-CFL'!$C$40)</f>
        <v>712.89398131164444</v>
      </c>
      <c r="S12" s="14">
        <f>R12*(1+'Assum-CFL'!$C$40)</f>
        <v>855.4727775739733</v>
      </c>
      <c r="T12" s="14">
        <f>S12*(1+'Assum-CFL'!$C$40)</f>
        <v>1026.567333088768</v>
      </c>
      <c r="U12" s="14">
        <f>T12*(1+'Assum-CFL'!$C$40)</f>
        <v>1231.8807997065217</v>
      </c>
      <c r="V12" s="14">
        <f>U12*(1+'Assum-CFL'!$C$40)</f>
        <v>1478.2569596478259</v>
      </c>
      <c r="W12" s="14">
        <f>V12*(1+'Assum-CFL'!$C$40)</f>
        <v>1773.9083515773909</v>
      </c>
    </row>
    <row r="13" spans="1:24" s="15" customFormat="1" ht="13.5" customHeight="1">
      <c r="A13" s="62" t="s">
        <v>46</v>
      </c>
      <c r="B13" s="62"/>
      <c r="C13" s="63">
        <f>'Assum-CFL'!$C$41*'P&amp;L-CFL'!D38</f>
        <v>26.244</v>
      </c>
      <c r="D13" s="63">
        <f>'Assum-CFL'!$C$41*'P&amp;L-CFL'!E38</f>
        <v>59.048999999999999</v>
      </c>
      <c r="E13" s="63">
        <f>'Assum-CFL'!$C$41*'P&amp;L-CFL'!F38</f>
        <v>102.35159999999999</v>
      </c>
      <c r="F13" s="63">
        <f>'Assum-CFL'!$C$41*'P&amp;L-CFL'!G38</f>
        <v>110.22479999999999</v>
      </c>
      <c r="G13" s="63">
        <f>'Assum-CFL'!$C$41*'P&amp;L-CFL'!H38</f>
        <v>110.22479999999999</v>
      </c>
      <c r="H13" s="63">
        <f>'Assum-CFL'!$C$41*'P&amp;L-CFL'!I38</f>
        <v>110.22479999999999</v>
      </c>
      <c r="I13" s="63">
        <f>'Assum-CFL'!$C$41*'P&amp;L-CFL'!J38</f>
        <v>110.22479999999999</v>
      </c>
      <c r="J13" s="63">
        <f>'Assum-CFL'!$C$41*'P&amp;L-CFL'!K38</f>
        <v>110.22479999999999</v>
      </c>
      <c r="K13" s="63">
        <f>'Assum-CFL'!$C$41*'P&amp;L-CFL'!L38</f>
        <v>110.22479999999999</v>
      </c>
      <c r="L13" s="63">
        <f>'Assum-CFL'!$C$41*'P&amp;L-CFL'!M38</f>
        <v>110.22479999999999</v>
      </c>
      <c r="M13" s="63">
        <f>'Assum-CFL'!$C$41*'P&amp;L-CFL'!N38</f>
        <v>110.22479999999999</v>
      </c>
      <c r="N13" s="63">
        <f>'Assum-CFL'!$C$41*'P&amp;L-CFL'!O38</f>
        <v>110.22479999999999</v>
      </c>
      <c r="O13" s="63">
        <f>'Assum-CFL'!$C$41*'P&amp;L-CFL'!P38</f>
        <v>110.22479999999999</v>
      </c>
      <c r="P13" s="63">
        <f>'Assum-CFL'!$C$41*'P&amp;L-CFL'!Q38</f>
        <v>110.22479999999999</v>
      </c>
      <c r="Q13" s="63">
        <f>'Assum-CFL'!$C$41*'P&amp;L-CFL'!R38</f>
        <v>110.22479999999999</v>
      </c>
      <c r="R13" s="63">
        <f>'Assum-CFL'!$C$41*'P&amp;L-CFL'!S38</f>
        <v>110.22479999999999</v>
      </c>
      <c r="S13" s="63">
        <f>'Assum-CFL'!$C$41*'P&amp;L-CFL'!T38</f>
        <v>110.22479999999999</v>
      </c>
      <c r="T13" s="63">
        <f>'Assum-CFL'!$C$41*'P&amp;L-CFL'!U38</f>
        <v>110.22479999999999</v>
      </c>
      <c r="U13" s="63">
        <f>'Assum-CFL'!$C$41*'P&amp;L-CFL'!V38</f>
        <v>110.22479999999999</v>
      </c>
      <c r="V13" s="63">
        <f>'Assum-CFL'!$C$41*'P&amp;L-CFL'!W38</f>
        <v>110.22479999999999</v>
      </c>
      <c r="W13" s="63">
        <f>'Assum-CFL'!$C$41*'P&amp;L-CFL'!X38</f>
        <v>36.741599999999998</v>
      </c>
      <c r="X13" s="22"/>
    </row>
    <row r="14" spans="1:24" s="8" customFormat="1" ht="14.25" customHeight="1">
      <c r="A14" s="1" t="s">
        <v>32</v>
      </c>
      <c r="B14" s="1"/>
      <c r="C14" s="1">
        <f t="shared" ref="C14:V14" si="1">+SUM(C9:C13)+C8</f>
        <v>484.43338666666659</v>
      </c>
      <c r="D14" s="1">
        <f t="shared" si="1"/>
        <v>932.32786399999986</v>
      </c>
      <c r="E14" s="1">
        <f t="shared" si="1"/>
        <v>1363.4613368</v>
      </c>
      <c r="F14" s="1">
        <f t="shared" si="1"/>
        <v>1472.11925916</v>
      </c>
      <c r="G14" s="1">
        <f t="shared" si="1"/>
        <v>1495.0353327419998</v>
      </c>
      <c r="H14" s="1">
        <f t="shared" si="1"/>
        <v>1521.4958841278999</v>
      </c>
      <c r="I14" s="1">
        <f t="shared" si="1"/>
        <v>1552.1578720328548</v>
      </c>
      <c r="J14" s="1">
        <f t="shared" si="1"/>
        <v>1587.8070500727697</v>
      </c>
      <c r="K14" s="1">
        <f t="shared" si="1"/>
        <v>1629.3835959023345</v>
      </c>
      <c r="L14" s="1">
        <f t="shared" si="1"/>
        <v>1678.0128596885629</v>
      </c>
      <c r="M14" s="1">
        <f t="shared" si="1"/>
        <v>1735.0422554623251</v>
      </c>
      <c r="N14" s="1">
        <f t="shared" si="1"/>
        <v>1802.0855235826421</v>
      </c>
      <c r="O14" s="1">
        <f t="shared" si="1"/>
        <v>1881.0758381784153</v>
      </c>
      <c r="P14" s="1">
        <f t="shared" si="1"/>
        <v>1974.3295281873052</v>
      </c>
      <c r="Q14" s="1">
        <f t="shared" si="1"/>
        <v>2084.6225343166334</v>
      </c>
      <c r="R14" s="1">
        <f t="shared" si="1"/>
        <v>2215.2821486964203</v>
      </c>
      <c r="S14" s="1">
        <f t="shared" si="1"/>
        <v>2370.297093327988</v>
      </c>
      <c r="T14" s="1">
        <f t="shared" si="1"/>
        <v>2554.4496046304835</v>
      </c>
      <c r="U14" s="1">
        <f t="shared" si="1"/>
        <v>2773.4739248253231</v>
      </c>
      <c r="V14" s="1">
        <f t="shared" si="1"/>
        <v>3034.2464810225674</v>
      </c>
      <c r="W14" s="1">
        <f>+SUM(W9:W13)+W8</f>
        <v>2670.8972890208697</v>
      </c>
      <c r="X14" s="5"/>
    </row>
    <row r="15" spans="1:24" ht="13.5" customHeight="1">
      <c r="A15" s="2"/>
      <c r="B15" s="2"/>
      <c r="C15" s="2"/>
      <c r="D15" s="2"/>
      <c r="E15" s="2"/>
      <c r="F15" s="2"/>
      <c r="G15" s="2"/>
      <c r="H15" s="2"/>
      <c r="I15" s="2"/>
      <c r="J15" s="2"/>
      <c r="K15" s="2"/>
      <c r="L15" s="2"/>
      <c r="M15" s="2"/>
      <c r="N15" s="2"/>
      <c r="O15" s="2"/>
      <c r="P15" s="2"/>
      <c r="Q15" s="2"/>
      <c r="R15" s="2"/>
      <c r="S15" s="2"/>
      <c r="T15" s="2"/>
      <c r="U15" s="2"/>
      <c r="V15" s="2"/>
      <c r="W15" s="2"/>
    </row>
    <row r="16" spans="1:24" ht="13.5" customHeight="1">
      <c r="A16" s="8" t="s">
        <v>67</v>
      </c>
      <c r="B16" s="8"/>
      <c r="C16" s="6"/>
      <c r="D16" s="6"/>
      <c r="E16" s="6"/>
      <c r="F16" s="6"/>
      <c r="G16" s="6"/>
      <c r="H16" s="6"/>
      <c r="I16" s="6"/>
      <c r="J16" s="6"/>
      <c r="K16" s="6"/>
      <c r="L16" s="6"/>
      <c r="M16" s="6"/>
      <c r="N16" s="6"/>
      <c r="O16" s="6"/>
      <c r="P16" s="6"/>
      <c r="Q16" s="6"/>
      <c r="R16" s="6"/>
      <c r="S16" s="6"/>
      <c r="T16" s="6"/>
      <c r="U16" s="6"/>
      <c r="V16" s="6"/>
    </row>
    <row r="17" spans="1:25" ht="13.5" customHeight="1">
      <c r="A17" s="6" t="s">
        <v>76</v>
      </c>
      <c r="B17" s="6"/>
      <c r="C17" s="6">
        <f>+'Assum-CFL'!C20</f>
        <v>7.48</v>
      </c>
      <c r="D17" s="6"/>
      <c r="E17" s="6"/>
      <c r="F17" s="6"/>
      <c r="G17" s="6"/>
      <c r="H17" s="6"/>
      <c r="I17" s="6"/>
      <c r="J17" s="6"/>
      <c r="K17" s="6"/>
      <c r="L17" s="6"/>
      <c r="M17" s="6"/>
      <c r="N17" s="6"/>
      <c r="O17" s="6"/>
      <c r="P17" s="6"/>
      <c r="Q17" s="6"/>
      <c r="R17" s="6"/>
      <c r="S17" s="6"/>
      <c r="T17" s="6"/>
      <c r="U17" s="6"/>
    </row>
    <row r="18" spans="1:25" ht="13.5" customHeight="1">
      <c r="A18" s="6" t="s">
        <v>77</v>
      </c>
      <c r="B18" s="6"/>
      <c r="C18" s="6">
        <f>+'Assum-CFL'!C21</f>
        <v>26.52</v>
      </c>
      <c r="D18" s="6"/>
      <c r="E18" s="6"/>
      <c r="F18" s="6"/>
      <c r="G18" s="6"/>
      <c r="H18" s="6"/>
      <c r="I18" s="6"/>
      <c r="J18" s="6"/>
      <c r="K18" s="6"/>
      <c r="L18" s="6"/>
      <c r="M18" s="6"/>
      <c r="N18" s="6"/>
      <c r="O18" s="6"/>
      <c r="P18" s="6"/>
      <c r="Q18" s="6"/>
      <c r="R18" s="6"/>
      <c r="S18" s="6"/>
      <c r="T18" s="6"/>
      <c r="U18" s="6"/>
    </row>
    <row r="19" spans="1:25">
      <c r="G19" s="6"/>
    </row>
    <row r="20" spans="1:25" ht="15">
      <c r="A20" s="77" t="s">
        <v>221</v>
      </c>
      <c r="B20" s="6"/>
      <c r="C20" s="6"/>
      <c r="D20" s="6"/>
      <c r="E20" s="6"/>
      <c r="F20" s="6"/>
      <c r="G20" s="6"/>
      <c r="H20" s="6"/>
      <c r="I20" s="6"/>
      <c r="J20" s="6"/>
      <c r="K20" s="6"/>
      <c r="L20" s="6"/>
      <c r="M20" s="6"/>
      <c r="N20" s="6"/>
      <c r="O20" s="6"/>
      <c r="P20" s="6"/>
      <c r="Q20" s="6"/>
    </row>
    <row r="21" spans="1:25">
      <c r="A21" s="2"/>
      <c r="B21" s="6"/>
      <c r="C21" s="6"/>
      <c r="D21" s="6"/>
      <c r="E21" s="6"/>
      <c r="F21" s="6"/>
      <c r="G21" s="6"/>
      <c r="H21" s="6"/>
      <c r="I21" s="6"/>
      <c r="J21" s="6"/>
      <c r="K21" s="6"/>
      <c r="L21" s="6"/>
      <c r="M21" s="6"/>
      <c r="N21" s="6"/>
      <c r="O21" s="6"/>
      <c r="P21" s="6"/>
      <c r="Q21" s="6"/>
    </row>
    <row r="22" spans="1:25" ht="15">
      <c r="A22" s="2" t="s">
        <v>224</v>
      </c>
      <c r="B22" s="2" t="s">
        <v>209</v>
      </c>
      <c r="C22" s="77" t="str">
        <f>C7</f>
        <v>FY01</v>
      </c>
      <c r="D22" s="2" t="str">
        <f t="shared" ref="D22:W22" si="2">D7</f>
        <v>FY02</v>
      </c>
      <c r="E22" s="2" t="str">
        <f t="shared" si="2"/>
        <v>FY03</v>
      </c>
      <c r="F22" s="2" t="str">
        <f t="shared" si="2"/>
        <v>FY04</v>
      </c>
      <c r="G22" s="2" t="str">
        <f t="shared" si="2"/>
        <v>FY05</v>
      </c>
      <c r="H22" s="2" t="str">
        <f t="shared" si="2"/>
        <v>FY06</v>
      </c>
      <c r="I22" s="2" t="str">
        <f t="shared" si="2"/>
        <v>FY07</v>
      </c>
      <c r="J22" s="2" t="str">
        <f t="shared" si="2"/>
        <v>FY08</v>
      </c>
      <c r="K22" s="2" t="str">
        <f t="shared" si="2"/>
        <v>FY09</v>
      </c>
      <c r="L22" s="2" t="str">
        <f t="shared" si="2"/>
        <v>FY10</v>
      </c>
      <c r="M22" s="2" t="str">
        <f t="shared" si="2"/>
        <v>FY11</v>
      </c>
      <c r="N22" s="2" t="str">
        <f t="shared" si="2"/>
        <v>FY12</v>
      </c>
      <c r="O22" s="2" t="str">
        <f t="shared" si="2"/>
        <v>FY13</v>
      </c>
      <c r="P22" s="2" t="str">
        <f t="shared" si="2"/>
        <v>FY14</v>
      </c>
      <c r="Q22" s="2" t="str">
        <f t="shared" si="2"/>
        <v>FY15</v>
      </c>
      <c r="R22" s="2" t="str">
        <f t="shared" si="2"/>
        <v>FY16</v>
      </c>
      <c r="S22" s="2" t="str">
        <f t="shared" si="2"/>
        <v>FY17</v>
      </c>
      <c r="T22" s="2" t="str">
        <f t="shared" si="2"/>
        <v>FY18</v>
      </c>
      <c r="U22" s="2" t="str">
        <f t="shared" si="2"/>
        <v>FY19</v>
      </c>
      <c r="V22" s="2" t="str">
        <f t="shared" si="2"/>
        <v>FY20</v>
      </c>
      <c r="W22" s="2" t="str">
        <f t="shared" si="2"/>
        <v>FY21</v>
      </c>
      <c r="Y22" s="4"/>
    </row>
    <row r="23" spans="1:25">
      <c r="A23" s="2"/>
      <c r="B23" s="2"/>
      <c r="C23" s="2"/>
      <c r="D23" s="2"/>
      <c r="E23" s="2"/>
      <c r="F23" s="2"/>
      <c r="G23" s="2"/>
      <c r="H23" s="2"/>
      <c r="I23" s="2"/>
      <c r="J23" s="2"/>
      <c r="K23" s="2"/>
      <c r="L23" s="2"/>
      <c r="M23" s="2"/>
      <c r="N23" s="2"/>
      <c r="O23" s="2"/>
      <c r="P23" s="2"/>
      <c r="Q23" s="2"/>
      <c r="Y23" s="4"/>
    </row>
    <row r="24" spans="1:25">
      <c r="A24" s="2" t="s">
        <v>225</v>
      </c>
      <c r="B24" s="2" t="s">
        <v>210</v>
      </c>
      <c r="C24" s="2">
        <f>(C8+C9)*(1.5/8)</f>
        <v>40.221000000000004</v>
      </c>
      <c r="D24" s="2">
        <f>(D8+D9)*(1.5/12)</f>
        <v>60.331500000000005</v>
      </c>
      <c r="E24" s="2">
        <f t="shared" ref="E24:S24" si="3">(E8+E9)*1.5/12</f>
        <v>104.57459999999999</v>
      </c>
      <c r="F24" s="2">
        <f t="shared" si="3"/>
        <v>112.61880000000001</v>
      </c>
      <c r="G24" s="2">
        <f t="shared" si="3"/>
        <v>112.61880000000001</v>
      </c>
      <c r="H24" s="2">
        <f t="shared" si="3"/>
        <v>112.61880000000001</v>
      </c>
      <c r="I24" s="2">
        <f t="shared" si="3"/>
        <v>112.61880000000001</v>
      </c>
      <c r="J24" s="2">
        <f t="shared" si="3"/>
        <v>112.61880000000001</v>
      </c>
      <c r="K24" s="2">
        <f t="shared" si="3"/>
        <v>112.61880000000001</v>
      </c>
      <c r="L24" s="2">
        <f t="shared" si="3"/>
        <v>112.61880000000001</v>
      </c>
      <c r="M24" s="2">
        <f t="shared" si="3"/>
        <v>112.61880000000001</v>
      </c>
      <c r="N24" s="2">
        <f t="shared" si="3"/>
        <v>112.61880000000001</v>
      </c>
      <c r="O24" s="2">
        <f t="shared" si="3"/>
        <v>112.61880000000001</v>
      </c>
      <c r="P24" s="2">
        <f t="shared" si="3"/>
        <v>112.61880000000001</v>
      </c>
      <c r="Q24" s="2">
        <f t="shared" si="3"/>
        <v>112.61880000000001</v>
      </c>
      <c r="R24" s="2">
        <f t="shared" si="3"/>
        <v>112.61880000000001</v>
      </c>
      <c r="S24" s="2">
        <f t="shared" si="3"/>
        <v>112.61880000000001</v>
      </c>
      <c r="T24" s="2">
        <f>(T8+T9)*1.5/12</f>
        <v>112.61880000000001</v>
      </c>
      <c r="U24" s="2">
        <f>(U8+U9)*1.5/12</f>
        <v>112.61880000000001</v>
      </c>
      <c r="V24" s="2">
        <f>(V8+V9)*1.5/12</f>
        <v>112.61880000000001</v>
      </c>
      <c r="W24" s="2">
        <f>(W8+W9)*1.5/12</f>
        <v>37.5396</v>
      </c>
      <c r="Y24" s="4"/>
    </row>
    <row r="25" spans="1:25">
      <c r="A25" s="2" t="s">
        <v>226</v>
      </c>
      <c r="B25" s="2" t="s">
        <v>211</v>
      </c>
      <c r="C25" s="2">
        <f>(C14+'Depreciation-CFL'!E54)*(2/35)</f>
        <v>31.153884976761901</v>
      </c>
      <c r="D25" s="2">
        <f>(D14+'Depreciation-CFL'!F54)*(2/52)</f>
        <v>39.364125563076918</v>
      </c>
      <c r="E25" s="2">
        <f>(E14+'Depreciation-CFL'!G54)*(2/52)</f>
        <v>55.946182209230777</v>
      </c>
      <c r="F25" s="2">
        <f>(F14+'Depreciation-CFL'!H54)*(2/52)</f>
        <v>60.125333069230777</v>
      </c>
      <c r="G25" s="2">
        <f>(G14+'Depreciation-CFL'!I54)*(2/52)</f>
        <v>61.006720514692304</v>
      </c>
      <c r="H25" s="2">
        <f>(H14+'Depreciation-CFL'!J54)*(2/52)</f>
        <v>62.024434029534618</v>
      </c>
      <c r="I25" s="2">
        <f>(I14+'Depreciation-CFL'!K54)*(2/52)</f>
        <v>63.203741256648271</v>
      </c>
      <c r="J25" s="2">
        <f>(J14+'Depreciation-CFL'!L54)*(2/52)</f>
        <v>64.574863488952687</v>
      </c>
      <c r="K25" s="2">
        <f>(K14+'Depreciation-CFL'!M54)*(2/52)</f>
        <v>66.173961405474415</v>
      </c>
      <c r="L25" s="2">
        <f>(L14+'Depreciation-CFL'!N54)*(2/52)</f>
        <v>68.044317704944731</v>
      </c>
      <c r="M25" s="2">
        <f>(M14+'Depreciation-CFL'!O54)*(2/52)</f>
        <v>70.237756003935587</v>
      </c>
      <c r="N25" s="2">
        <f>(N14+'Depreciation-CFL'!P54)*(2/52)</f>
        <v>72.816343239332397</v>
      </c>
      <c r="O25" s="2">
        <f>(O14+'Depreciation-CFL'!Q54)*(2/52)</f>
        <v>75.854432262246746</v>
      </c>
      <c r="P25" s="2">
        <f>(P14+'Depreciation-CFL'!R54)*(2/52)</f>
        <v>79.441112647204051</v>
      </c>
      <c r="Q25" s="2">
        <f>(Q14+'Depreciation-CFL'!S54)*(2/52)</f>
        <v>83.683151344485907</v>
      </c>
      <c r="R25" s="2">
        <f>(R14+'Depreciation-CFL'!T54)*(2/52)</f>
        <v>88.708521128323866</v>
      </c>
      <c r="S25" s="2">
        <f>(S14+'Depreciation-CFL'!U54)*(2/52)</f>
        <v>94.670634383384169</v>
      </c>
      <c r="T25" s="2">
        <f>(T14+'Depreciation-CFL'!V54)*(2/52)</f>
        <v>101.75342327963399</v>
      </c>
      <c r="U25" s="2">
        <f>(U14+'Depreciation-CFL'!W54)*(2/52)</f>
        <v>110.17743559482012</v>
      </c>
      <c r="V25" s="2">
        <f>(V14+'Depreciation-CFL'!X54)*(2/52)</f>
        <v>117.97488522086796</v>
      </c>
      <c r="W25" s="2">
        <f>(W14+'Depreciation-CFL'!Y54)*(2/52)</f>
        <v>102.87215162900782</v>
      </c>
      <c r="Y25" s="4"/>
    </row>
    <row r="26" spans="1:25">
      <c r="A26" s="2" t="s">
        <v>227</v>
      </c>
      <c r="B26" s="2" t="s">
        <v>211</v>
      </c>
      <c r="C26" s="2">
        <f>(C14+'Depreciation-CFL'!E54+'P&amp;L-CFL'!D25)*(2/35)</f>
        <v>34.239599262476183</v>
      </c>
      <c r="D26" s="2">
        <f>(D14+'Depreciation-CFL'!F54+'P&amp;L-CFL'!E25)*(2/52)</f>
        <v>44.037202486153845</v>
      </c>
      <c r="E26" s="2">
        <f>(E14+'Depreciation-CFL'!G54+'P&amp;L-CFL'!F25)*(2/52)</f>
        <v>64.046182209230778</v>
      </c>
      <c r="F26" s="2">
        <f>(F14+'Depreciation-CFL'!H54+'P&amp;L-CFL'!G25)*(2/52)</f>
        <v>68.848409992307694</v>
      </c>
      <c r="G26" s="2">
        <f>(G14+'Depreciation-CFL'!I54+'P&amp;L-CFL'!H25)*(2/52)</f>
        <v>69.729797437769236</v>
      </c>
      <c r="H26" s="2">
        <f>(H14+'Depreciation-CFL'!J54+'P&amp;L-CFL'!I25)*(2/52)</f>
        <v>70.747510952611535</v>
      </c>
      <c r="I26" s="2">
        <f>(I14+'Depreciation-CFL'!K54+'P&amp;L-CFL'!J25)*(2/52)</f>
        <v>71.926818179725188</v>
      </c>
      <c r="J26" s="2">
        <f>(J14+'Depreciation-CFL'!L54+'P&amp;L-CFL'!K25)*(2/52)</f>
        <v>73.297940412029604</v>
      </c>
      <c r="K26" s="2">
        <f>(K14+'Depreciation-CFL'!M54+'P&amp;L-CFL'!L25)*(2/52)</f>
        <v>74.897038328551332</v>
      </c>
      <c r="L26" s="2">
        <f>(L14+'Depreciation-CFL'!N54+'P&amp;L-CFL'!M25)*(2/52)</f>
        <v>76.767394628021663</v>
      </c>
      <c r="M26" s="2">
        <f>(M14+'Depreciation-CFL'!O54+'P&amp;L-CFL'!N25)*(2/52)</f>
        <v>78.960832927012518</v>
      </c>
      <c r="N26" s="2">
        <f>(N14+'Depreciation-CFL'!P54+'P&amp;L-CFL'!O25)*(2/52)</f>
        <v>81.539420162409328</v>
      </c>
      <c r="O26" s="2">
        <f>(O14+'Depreciation-CFL'!Q54+'P&amp;L-CFL'!P25)*(2/52)</f>
        <v>84.577509185323677</v>
      </c>
      <c r="P26" s="2">
        <f>(P14+'Depreciation-CFL'!R54+'P&amp;L-CFL'!Q25)*(2/52)</f>
        <v>88.164189570280982</v>
      </c>
      <c r="Q26" s="2">
        <f>(Q14+'Depreciation-CFL'!S54+'P&amp;L-CFL'!R25)*(2/52)</f>
        <v>92.406228267562838</v>
      </c>
      <c r="R26" s="2">
        <f>(R14+'Depreciation-CFL'!T54+'P&amp;L-CFL'!S25)*(2/52)</f>
        <v>97.431598051400798</v>
      </c>
      <c r="S26" s="2">
        <f>(S14+'Depreciation-CFL'!U54+'P&amp;L-CFL'!T25)*(2/52)</f>
        <v>103.3937113064611</v>
      </c>
      <c r="T26" s="2">
        <f>(T14+'Depreciation-CFL'!V54+'P&amp;L-CFL'!U25)*(2/52)</f>
        <v>110.47650020271092</v>
      </c>
      <c r="U26" s="2">
        <f>(U14+'Depreciation-CFL'!W54+'P&amp;L-CFL'!V25)*(2/52)</f>
        <v>118.90051251789706</v>
      </c>
      <c r="V26" s="2">
        <f>(V14+'Depreciation-CFL'!X54+'P&amp;L-CFL'!W25)*(2/52)</f>
        <v>126.69796214394489</v>
      </c>
      <c r="W26" s="2">
        <f>(W14+'Depreciation-CFL'!Y54+'P&amp;L-CFL'!X25)*(2/52)</f>
        <v>105.77984393670012</v>
      </c>
      <c r="Y26" s="4"/>
    </row>
    <row r="27" spans="1:25">
      <c r="A27" s="2" t="s">
        <v>228</v>
      </c>
      <c r="B27" s="2" t="s">
        <v>233</v>
      </c>
      <c r="C27" s="2">
        <f>'P&amp;L-CFL'!D38*(1/8)</f>
        <v>109.35000000000001</v>
      </c>
      <c r="D27" s="2">
        <f>'P&amp;L-CFL'!E38*(1/12)</f>
        <v>164.02499999999998</v>
      </c>
      <c r="E27" s="2">
        <f>'P&amp;L-CFL'!F38*(1/12)</f>
        <v>284.30999999999995</v>
      </c>
      <c r="F27" s="2">
        <f>'P&amp;L-CFL'!G38*(1/12)</f>
        <v>306.17999999999995</v>
      </c>
      <c r="G27" s="2">
        <f>'P&amp;L-CFL'!H38*(1/12)</f>
        <v>306.17999999999995</v>
      </c>
      <c r="H27" s="2">
        <f>'P&amp;L-CFL'!I38*(1/12)</f>
        <v>306.17999999999995</v>
      </c>
      <c r="I27" s="2">
        <f>'P&amp;L-CFL'!J38*(1/12)</f>
        <v>306.17999999999995</v>
      </c>
      <c r="J27" s="2">
        <f>'P&amp;L-CFL'!K38*(1/12)</f>
        <v>306.17999999999995</v>
      </c>
      <c r="K27" s="2">
        <f>'P&amp;L-CFL'!L38*(1/12)</f>
        <v>306.17999999999995</v>
      </c>
      <c r="L27" s="2">
        <f>'P&amp;L-CFL'!M38*(1/12)</f>
        <v>306.17999999999995</v>
      </c>
      <c r="M27" s="2">
        <f>'P&amp;L-CFL'!N38*(1/12)</f>
        <v>306.17999999999995</v>
      </c>
      <c r="N27" s="2">
        <f>'P&amp;L-CFL'!O38*(1/12)</f>
        <v>306.17999999999995</v>
      </c>
      <c r="O27" s="2">
        <f>'P&amp;L-CFL'!P38*(1/12)</f>
        <v>306.17999999999995</v>
      </c>
      <c r="P27" s="2">
        <f>'P&amp;L-CFL'!Q38*(1/12)</f>
        <v>306.17999999999995</v>
      </c>
      <c r="Q27" s="2">
        <f>'P&amp;L-CFL'!R38*(1/12)</f>
        <v>306.17999999999995</v>
      </c>
      <c r="R27" s="2">
        <f>'P&amp;L-CFL'!S38*(1/12)</f>
        <v>306.17999999999995</v>
      </c>
      <c r="S27" s="2">
        <f>'P&amp;L-CFL'!T38*(1/12)</f>
        <v>306.17999999999995</v>
      </c>
      <c r="T27" s="2">
        <f>'P&amp;L-CFL'!U38*(1/12)</f>
        <v>306.17999999999995</v>
      </c>
      <c r="U27" s="2">
        <f>'P&amp;L-CFL'!V38*(1/12)</f>
        <v>306.17999999999995</v>
      </c>
      <c r="V27" s="2">
        <f>'P&amp;L-CFL'!W38*(1/12)</f>
        <v>306.17999999999995</v>
      </c>
      <c r="W27" s="2">
        <f>'P&amp;L-CFL'!X38*(1/12)</f>
        <v>102.06</v>
      </c>
      <c r="Y27" s="4"/>
    </row>
    <row r="28" spans="1:25">
      <c r="A28" s="2"/>
      <c r="B28" s="2"/>
      <c r="C28" s="2">
        <f>SUM(C24:C27)</f>
        <v>214.96448423923812</v>
      </c>
      <c r="D28" s="2">
        <f>SUM(D24:D27)</f>
        <v>307.75782804923074</v>
      </c>
      <c r="E28" s="2">
        <f t="shared" ref="E28:S28" si="4">SUM(E24:E27)</f>
        <v>508.87696441846151</v>
      </c>
      <c r="F28" s="2">
        <f t="shared" si="4"/>
        <v>547.77254306153839</v>
      </c>
      <c r="G28" s="2">
        <f t="shared" si="4"/>
        <v>549.53531795246147</v>
      </c>
      <c r="H28" s="2">
        <f t="shared" si="4"/>
        <v>551.57074498214615</v>
      </c>
      <c r="I28" s="2">
        <f t="shared" si="4"/>
        <v>553.92935943637337</v>
      </c>
      <c r="J28" s="2">
        <f t="shared" si="4"/>
        <v>556.67160390098229</v>
      </c>
      <c r="K28" s="2">
        <f t="shared" si="4"/>
        <v>559.86979973402572</v>
      </c>
      <c r="L28" s="2">
        <f t="shared" si="4"/>
        <v>563.61051233296632</v>
      </c>
      <c r="M28" s="2">
        <f t="shared" si="4"/>
        <v>567.99738893094809</v>
      </c>
      <c r="N28" s="2">
        <f t="shared" si="4"/>
        <v>573.15456340174171</v>
      </c>
      <c r="O28" s="2">
        <f t="shared" si="4"/>
        <v>579.23074144757038</v>
      </c>
      <c r="P28" s="2">
        <f t="shared" si="4"/>
        <v>586.40410221748493</v>
      </c>
      <c r="Q28" s="2">
        <f t="shared" si="4"/>
        <v>594.8881796120487</v>
      </c>
      <c r="R28" s="2">
        <f t="shared" si="4"/>
        <v>604.93891917972462</v>
      </c>
      <c r="S28" s="2">
        <f t="shared" si="4"/>
        <v>616.86314568984517</v>
      </c>
      <c r="T28" s="2">
        <f>SUM(T24:T27)</f>
        <v>631.02872348234484</v>
      </c>
      <c r="U28" s="2">
        <f>SUM(U24:U27)</f>
        <v>647.87674811271711</v>
      </c>
      <c r="V28" s="2">
        <f>SUM(V24:V27)</f>
        <v>663.47164736481284</v>
      </c>
      <c r="W28" s="2">
        <f>SUM(W24:W27)</f>
        <v>348.25159556570793</v>
      </c>
      <c r="Y28" s="4"/>
    </row>
    <row r="29" spans="1:25">
      <c r="A29" s="2"/>
      <c r="B29" s="2"/>
      <c r="C29" s="2"/>
      <c r="D29" s="2"/>
      <c r="E29" s="2"/>
      <c r="F29" s="2"/>
      <c r="G29" s="2"/>
      <c r="H29" s="2"/>
      <c r="I29" s="2"/>
      <c r="J29" s="2"/>
      <c r="K29" s="2"/>
      <c r="L29" s="2"/>
      <c r="M29" s="2"/>
      <c r="N29" s="2"/>
      <c r="O29" s="2"/>
      <c r="P29" s="2"/>
      <c r="Q29" s="2"/>
      <c r="Y29" s="4"/>
    </row>
    <row r="30" spans="1:25">
      <c r="A30" s="2" t="s">
        <v>229</v>
      </c>
      <c r="B30" s="2" t="s">
        <v>212</v>
      </c>
      <c r="C30" s="2">
        <f>(C8+C9)*(1-'Assum-CFL'!$C$59)*(2/35)</f>
        <v>3.6773485714285723</v>
      </c>
      <c r="D30" s="2">
        <f>(D8+D9)*(1-'Assum-CFL'!$C$59)*(2/52)</f>
        <v>5.5690615384615398</v>
      </c>
      <c r="E30" s="2">
        <f>(E8+E9)*(1-'Assum-CFL'!$C$59)*(2/52)</f>
        <v>9.6530400000000025</v>
      </c>
      <c r="F30" s="2">
        <f>(F8+F9)*(1-'Assum-CFL'!$C$59)*(2/52)</f>
        <v>10.395581538461542</v>
      </c>
      <c r="G30" s="2">
        <f>(G8+G9)*(1-'Assum-CFL'!$C$59)*(2/52)</f>
        <v>10.395581538461542</v>
      </c>
      <c r="H30" s="2">
        <f>(H8+H9)*(1-'Assum-CFL'!$C$59)*(2/52)</f>
        <v>10.395581538461542</v>
      </c>
      <c r="I30" s="2">
        <f>(I8+I9)*(1-'Assum-CFL'!$C$59)*(2/52)</f>
        <v>10.395581538461542</v>
      </c>
      <c r="J30" s="2">
        <f>(J8+J9)*(1-'Assum-CFL'!$C$59)*(2/52)</f>
        <v>10.395581538461542</v>
      </c>
      <c r="K30" s="2">
        <f>(K8+K9)*(1-'Assum-CFL'!$C$59)*(2/52)</f>
        <v>10.395581538461542</v>
      </c>
      <c r="L30" s="2">
        <f>(L8+L9)*(1-'Assum-CFL'!$C$59)*(2/52)</f>
        <v>10.395581538461542</v>
      </c>
      <c r="M30" s="2">
        <f>(M8+M9)*(1-'Assum-CFL'!$C$59)*(2/52)</f>
        <v>10.395581538461542</v>
      </c>
      <c r="N30" s="2">
        <f>(N8+N9)*(1-'Assum-CFL'!$C$59)*(2/52)</f>
        <v>10.395581538461542</v>
      </c>
      <c r="O30" s="2">
        <f>(O8+O9)*(1-'Assum-CFL'!$C$59)*(2/52)</f>
        <v>10.395581538461542</v>
      </c>
      <c r="P30" s="2">
        <f>(P8+P9)*(1-'Assum-CFL'!$C$59)*(2/52)</f>
        <v>10.395581538461542</v>
      </c>
      <c r="Q30" s="2">
        <f>(Q8+Q9)*(1-'Assum-CFL'!$C$59)*(2/52)</f>
        <v>10.395581538461542</v>
      </c>
      <c r="R30" s="2">
        <f>(R8+R9)*(1-'Assum-CFL'!$C$59)*(2/52)</f>
        <v>10.395581538461542</v>
      </c>
      <c r="S30" s="2">
        <f>(S8+S9)*(1-'Assum-CFL'!$C$59)*(2/52)</f>
        <v>10.395581538461542</v>
      </c>
      <c r="T30" s="2">
        <f>(T8+T9)*(1-'Assum-CFL'!$C$59)*(2/52)</f>
        <v>10.395581538461542</v>
      </c>
      <c r="U30" s="2">
        <f>(U8+U9)*(1-'Assum-CFL'!$C$59)*(2/52)</f>
        <v>10.395581538461542</v>
      </c>
      <c r="V30" s="2">
        <f>(V8+V9)*(1-'Assum-CFL'!$C$59)*(2/52)</f>
        <v>10.395581538461542</v>
      </c>
      <c r="W30" s="2">
        <f>(W8+W9)*(1-'Assum-CFL'!$C$59)*(2/52)</f>
        <v>3.4651938461538467</v>
      </c>
      <c r="Y30" s="4"/>
    </row>
    <row r="31" spans="1:25">
      <c r="A31" s="2" t="s">
        <v>230</v>
      </c>
      <c r="B31" s="2"/>
      <c r="C31" s="2">
        <f>'Assum-CFL'!C61</f>
        <v>72</v>
      </c>
      <c r="D31" s="2">
        <f>'Assum-CFL'!C62</f>
        <v>108</v>
      </c>
      <c r="E31" s="2">
        <f>D31</f>
        <v>108</v>
      </c>
      <c r="F31" s="2">
        <f t="shared" ref="F31:W31" si="5">E31</f>
        <v>108</v>
      </c>
      <c r="G31" s="2">
        <f t="shared" si="5"/>
        <v>108</v>
      </c>
      <c r="H31" s="2">
        <f t="shared" si="5"/>
        <v>108</v>
      </c>
      <c r="I31" s="2">
        <f t="shared" si="5"/>
        <v>108</v>
      </c>
      <c r="J31" s="2">
        <f t="shared" si="5"/>
        <v>108</v>
      </c>
      <c r="K31" s="2">
        <f t="shared" si="5"/>
        <v>108</v>
      </c>
      <c r="L31" s="2">
        <f t="shared" si="5"/>
        <v>108</v>
      </c>
      <c r="M31" s="2">
        <f t="shared" si="5"/>
        <v>108</v>
      </c>
      <c r="N31" s="2">
        <f t="shared" si="5"/>
        <v>108</v>
      </c>
      <c r="O31" s="2">
        <f t="shared" si="5"/>
        <v>108</v>
      </c>
      <c r="P31" s="2">
        <f t="shared" si="5"/>
        <v>108</v>
      </c>
      <c r="Q31" s="2">
        <f t="shared" si="5"/>
        <v>108</v>
      </c>
      <c r="R31" s="2">
        <f t="shared" si="5"/>
        <v>108</v>
      </c>
      <c r="S31" s="2">
        <f t="shared" si="5"/>
        <v>108</v>
      </c>
      <c r="T31" s="2">
        <f t="shared" si="5"/>
        <v>108</v>
      </c>
      <c r="U31" s="2">
        <f t="shared" si="5"/>
        <v>108</v>
      </c>
      <c r="V31" s="2">
        <f t="shared" si="5"/>
        <v>108</v>
      </c>
      <c r="W31" s="2">
        <f t="shared" si="5"/>
        <v>108</v>
      </c>
      <c r="Y31" s="4"/>
    </row>
    <row r="32" spans="1:25">
      <c r="A32" s="2" t="s">
        <v>231</v>
      </c>
      <c r="B32" s="2"/>
      <c r="C32" s="2">
        <f t="shared" ref="C32:W32" si="6">C28-C30-C31</f>
        <v>139.28713566780954</v>
      </c>
      <c r="D32" s="2">
        <f t="shared" si="6"/>
        <v>194.1887665107692</v>
      </c>
      <c r="E32" s="2">
        <f t="shared" si="6"/>
        <v>391.22392441846154</v>
      </c>
      <c r="F32" s="2">
        <f t="shared" si="6"/>
        <v>429.37696152307683</v>
      </c>
      <c r="G32" s="2">
        <f t="shared" si="6"/>
        <v>431.13973641399991</v>
      </c>
      <c r="H32" s="2">
        <f t="shared" si="6"/>
        <v>433.1751634436846</v>
      </c>
      <c r="I32" s="2">
        <f t="shared" si="6"/>
        <v>435.53377789791182</v>
      </c>
      <c r="J32" s="2">
        <f t="shared" si="6"/>
        <v>438.27602236252073</v>
      </c>
      <c r="K32" s="2">
        <f t="shared" si="6"/>
        <v>441.47421819556416</v>
      </c>
      <c r="L32" s="2">
        <f t="shared" si="6"/>
        <v>445.21493079450477</v>
      </c>
      <c r="M32" s="2">
        <f t="shared" si="6"/>
        <v>449.60180739248653</v>
      </c>
      <c r="N32" s="2">
        <f t="shared" si="6"/>
        <v>454.75898186328016</v>
      </c>
      <c r="O32" s="2">
        <f t="shared" si="6"/>
        <v>460.83515990910882</v>
      </c>
      <c r="P32" s="2">
        <f t="shared" si="6"/>
        <v>468.00852067902338</v>
      </c>
      <c r="Q32" s="2">
        <f t="shared" si="6"/>
        <v>476.49259807358715</v>
      </c>
      <c r="R32" s="2">
        <f t="shared" si="6"/>
        <v>486.54333764126307</v>
      </c>
      <c r="S32" s="2">
        <f t="shared" si="6"/>
        <v>498.46756415138361</v>
      </c>
      <c r="T32" s="2">
        <f t="shared" si="6"/>
        <v>512.63314194388329</v>
      </c>
      <c r="U32" s="2">
        <f t="shared" si="6"/>
        <v>529.48116657425555</v>
      </c>
      <c r="V32" s="2">
        <f t="shared" si="6"/>
        <v>545.07606582635128</v>
      </c>
      <c r="W32" s="2">
        <f t="shared" si="6"/>
        <v>236.78640171955408</v>
      </c>
      <c r="Y32" s="4"/>
    </row>
    <row r="33" spans="1:25">
      <c r="A33" s="2"/>
      <c r="B33" s="2"/>
      <c r="C33" s="2"/>
      <c r="D33" s="2"/>
      <c r="E33" s="2"/>
      <c r="F33" s="2"/>
      <c r="G33" s="2"/>
      <c r="H33" s="2"/>
      <c r="I33" s="2"/>
      <c r="J33" s="2"/>
      <c r="K33" s="2"/>
      <c r="L33" s="2"/>
      <c r="M33" s="2"/>
      <c r="N33" s="2"/>
      <c r="O33" s="2"/>
      <c r="P33" s="2"/>
      <c r="Q33" s="2"/>
      <c r="Y33" s="4"/>
    </row>
    <row r="34" spans="1:25" s="79" customFormat="1">
      <c r="A34" s="78" t="s">
        <v>232</v>
      </c>
      <c r="B34" s="78"/>
      <c r="C34" s="78">
        <f>C32*'Assum-CFL'!$C$63</f>
        <v>34.821783916952384</v>
      </c>
      <c r="D34" s="78">
        <f>D32*'Assum-CFL'!$C$63</f>
        <v>48.5471916276923</v>
      </c>
      <c r="E34" s="78">
        <f>E32*'Assum-CFL'!$C$63</f>
        <v>97.805981104615384</v>
      </c>
      <c r="F34" s="78">
        <f>F32*'Assum-CFL'!$C$63</f>
        <v>107.34424038076921</v>
      </c>
      <c r="G34" s="78">
        <f>G32*'Assum-CFL'!$C$63</f>
        <v>107.78493410349998</v>
      </c>
      <c r="H34" s="78">
        <f>H32*'Assum-CFL'!$C$63</f>
        <v>108.29379086092115</v>
      </c>
      <c r="I34" s="78">
        <f>I32*'Assum-CFL'!$C$63</f>
        <v>108.88344447447795</v>
      </c>
      <c r="J34" s="78">
        <f>J32*'Assum-CFL'!$C$63</f>
        <v>109.56900559063018</v>
      </c>
      <c r="K34" s="78">
        <f>K32*'Assum-CFL'!$C$63</f>
        <v>110.36855454889104</v>
      </c>
      <c r="L34" s="78">
        <f>L32*'Assum-CFL'!$C$63</f>
        <v>111.30373269862619</v>
      </c>
      <c r="M34" s="78">
        <f>M32*'Assum-CFL'!$C$63</f>
        <v>112.40045184812163</v>
      </c>
      <c r="N34" s="78">
        <f>N32*'Assum-CFL'!$C$63</f>
        <v>113.68974546582004</v>
      </c>
      <c r="O34" s="78">
        <f>O32*'Assum-CFL'!$C$63</f>
        <v>115.20878997727721</v>
      </c>
      <c r="P34" s="78">
        <f>P32*'Assum-CFL'!$C$63</f>
        <v>117.00213016975584</v>
      </c>
      <c r="Q34" s="78">
        <f>Q32*'Assum-CFL'!$C$63</f>
        <v>119.12314951839679</v>
      </c>
      <c r="R34" s="78">
        <f>R32*'Assum-CFL'!$C$63</f>
        <v>121.63583441031577</v>
      </c>
      <c r="S34" s="78">
        <f>S32*'Assum-CFL'!$C$63</f>
        <v>124.6168910378459</v>
      </c>
      <c r="T34" s="78">
        <f>T32*'Assum-CFL'!$C$63</f>
        <v>128.15828548597082</v>
      </c>
      <c r="U34" s="78">
        <f>U32*'Assum-CFL'!$C$63</f>
        <v>132.37029164356389</v>
      </c>
      <c r="V34" s="78">
        <f>V32*'Assum-CFL'!$C$63</f>
        <v>136.26901645658782</v>
      </c>
      <c r="W34" s="78">
        <f>W32*'Assum-CFL'!$C$63</f>
        <v>59.19660042988852</v>
      </c>
      <c r="X34" s="4"/>
      <c r="Y34" s="4"/>
    </row>
    <row r="35" spans="1:25">
      <c r="A35" s="2" t="s">
        <v>222</v>
      </c>
      <c r="B35" s="2"/>
      <c r="C35" s="2">
        <f>C32-C34</f>
        <v>104.46535175085715</v>
      </c>
      <c r="D35" s="2">
        <f t="shared" ref="D35:W35" si="7">D32-D34</f>
        <v>145.64157488307688</v>
      </c>
      <c r="E35" s="2">
        <f t="shared" si="7"/>
        <v>293.41794331384614</v>
      </c>
      <c r="F35" s="2">
        <f t="shared" si="7"/>
        <v>322.03272114230765</v>
      </c>
      <c r="G35" s="2">
        <f t="shared" si="7"/>
        <v>323.35480231049996</v>
      </c>
      <c r="H35" s="2">
        <f t="shared" si="7"/>
        <v>324.88137258276345</v>
      </c>
      <c r="I35" s="2">
        <f t="shared" si="7"/>
        <v>326.65033342343384</v>
      </c>
      <c r="J35" s="2">
        <f t="shared" si="7"/>
        <v>328.70701677189055</v>
      </c>
      <c r="K35" s="2">
        <f t="shared" si="7"/>
        <v>331.10566364667312</v>
      </c>
      <c r="L35" s="2">
        <f t="shared" si="7"/>
        <v>333.9111980958786</v>
      </c>
      <c r="M35" s="2">
        <f t="shared" si="7"/>
        <v>337.2013555443649</v>
      </c>
      <c r="N35" s="2">
        <f t="shared" si="7"/>
        <v>341.06923639746014</v>
      </c>
      <c r="O35" s="2">
        <f t="shared" si="7"/>
        <v>345.62636993183162</v>
      </c>
      <c r="P35" s="2">
        <f t="shared" si="7"/>
        <v>351.00639050926753</v>
      </c>
      <c r="Q35" s="2">
        <f t="shared" si="7"/>
        <v>357.36944855519039</v>
      </c>
      <c r="R35" s="2">
        <f t="shared" si="7"/>
        <v>364.90750323094733</v>
      </c>
      <c r="S35" s="2">
        <f t="shared" si="7"/>
        <v>373.85067311353771</v>
      </c>
      <c r="T35" s="2">
        <f t="shared" si="7"/>
        <v>384.47485645791244</v>
      </c>
      <c r="U35" s="2">
        <f t="shared" si="7"/>
        <v>397.11087493069169</v>
      </c>
      <c r="V35" s="2">
        <f t="shared" si="7"/>
        <v>408.80704936976349</v>
      </c>
      <c r="W35" s="2">
        <f t="shared" si="7"/>
        <v>177.58980128966556</v>
      </c>
      <c r="Y35" s="4"/>
    </row>
    <row r="36" spans="1:25">
      <c r="A36" s="2" t="s">
        <v>223</v>
      </c>
      <c r="B36" s="2"/>
      <c r="C36" s="2">
        <f>C35*'Assum-CFL'!$C$58</f>
        <v>13.58049572761143</v>
      </c>
      <c r="D36" s="2">
        <f>D35*'Assum-CFL'!$C$58</f>
        <v>18.933404734799996</v>
      </c>
      <c r="E36" s="2">
        <f>E35*'Assum-CFL'!$C$58</f>
        <v>38.144332630800001</v>
      </c>
      <c r="F36" s="2">
        <f>F35*'Assum-CFL'!$C$58</f>
        <v>41.864253748499998</v>
      </c>
      <c r="G36" s="2">
        <f>G35*'Assum-CFL'!$C$58</f>
        <v>42.036124300364996</v>
      </c>
      <c r="H36" s="2">
        <f>H35*'Assum-CFL'!$C$58</f>
        <v>42.234578435759246</v>
      </c>
      <c r="I36" s="2">
        <f>I35*'Assum-CFL'!$C$58</f>
        <v>42.464543345046401</v>
      </c>
      <c r="J36" s="2">
        <f>J35*'Assum-CFL'!$C$58</f>
        <v>42.731912180345773</v>
      </c>
      <c r="K36" s="2">
        <f>K35*'Assum-CFL'!$C$58</f>
        <v>43.043736274067506</v>
      </c>
      <c r="L36" s="2">
        <f>L35*'Assum-CFL'!$C$58</f>
        <v>43.408455752464221</v>
      </c>
      <c r="M36" s="2">
        <f>M35*'Assum-CFL'!$C$58</f>
        <v>43.836176220767442</v>
      </c>
      <c r="N36" s="2">
        <f>N35*'Assum-CFL'!$C$58</f>
        <v>44.33900073166982</v>
      </c>
      <c r="O36" s="2">
        <f>O35*'Assum-CFL'!$C$58</f>
        <v>44.931428091138109</v>
      </c>
      <c r="P36" s="2">
        <f>P35*'Assum-CFL'!$C$58</f>
        <v>45.630830766204781</v>
      </c>
      <c r="Q36" s="2">
        <f>Q35*'Assum-CFL'!$C$58</f>
        <v>46.458028312174754</v>
      </c>
      <c r="R36" s="2">
        <f>R35*'Assum-CFL'!$C$58</f>
        <v>47.437975420023157</v>
      </c>
      <c r="S36" s="2">
        <f>S35*'Assum-CFL'!$C$58</f>
        <v>48.600587504759901</v>
      </c>
      <c r="T36" s="2">
        <f>T35*'Assum-CFL'!$C$58</f>
        <v>49.981731339528622</v>
      </c>
      <c r="U36" s="2">
        <f>U35*'Assum-CFL'!$C$58</f>
        <v>51.624413740989922</v>
      </c>
      <c r="V36" s="2">
        <f>V35*'Assum-CFL'!$C$58</f>
        <v>53.144916418069258</v>
      </c>
      <c r="W36" s="2">
        <f>W35*'Assum-CFL'!$C$58</f>
        <v>23.086674167656522</v>
      </c>
      <c r="Y36" s="4"/>
    </row>
    <row r="37" spans="1:25">
      <c r="Y37" s="4"/>
    </row>
    <row r="38" spans="1:25">
      <c r="Y38" s="4"/>
    </row>
  </sheetData>
  <mergeCells count="1">
    <mergeCell ref="A6:M6"/>
  </mergeCells>
  <phoneticPr fontId="0" type="noConversion"/>
  <printOptions horizontalCentered="1"/>
  <pageMargins left="0" right="0" top="0" bottom="0" header="0" footer="0"/>
  <pageSetup scale="52"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Sheet4">
    <tabColor rgb="FF92D050"/>
  </sheetPr>
  <dimension ref="B2:Y55"/>
  <sheetViews>
    <sheetView showGridLines="0" topLeftCell="A13" zoomScale="80" zoomScaleNormal="80" workbookViewId="0">
      <selection activeCell="C2" sqref="C2"/>
    </sheetView>
  </sheetViews>
  <sheetFormatPr defaultRowHeight="13.5"/>
  <cols>
    <col min="1" max="2" width="9.140625" style="10"/>
    <col min="3" max="3" width="34.7109375" style="10" bestFit="1" customWidth="1"/>
    <col min="4" max="4" width="8.140625" style="10" bestFit="1" customWidth="1"/>
    <col min="5" max="5" width="13.42578125" style="10" bestFit="1" customWidth="1"/>
    <col min="6" max="6" width="11.5703125" style="10" bestFit="1" customWidth="1"/>
    <col min="7" max="11" width="8.140625" style="10" bestFit="1" customWidth="1"/>
    <col min="12" max="15" width="7.42578125" style="10" bestFit="1" customWidth="1"/>
    <col min="16" max="25" width="7.140625" style="10" bestFit="1" customWidth="1"/>
    <col min="26" max="26" width="7.42578125" style="10" bestFit="1" customWidth="1"/>
    <col min="27" max="27" width="5.42578125" style="10" bestFit="1" customWidth="1"/>
    <col min="28" max="28" width="7.42578125" style="10" bestFit="1" customWidth="1"/>
    <col min="29" max="29" width="5.42578125" style="10" bestFit="1" customWidth="1"/>
    <col min="30" max="30" width="7.42578125" style="10" bestFit="1" customWidth="1"/>
    <col min="31" max="31" width="5.42578125" style="10" bestFit="1" customWidth="1"/>
    <col min="32" max="32" width="7.42578125" style="10" bestFit="1" customWidth="1"/>
    <col min="33" max="33" width="5.42578125" style="10" bestFit="1" customWidth="1"/>
    <col min="34" max="34" width="7.42578125" style="10" bestFit="1" customWidth="1"/>
    <col min="35" max="35" width="5.42578125" style="10" bestFit="1" customWidth="1"/>
    <col min="36" max="36" width="7.42578125" style="10" bestFit="1" customWidth="1"/>
    <col min="37" max="37" width="5.42578125" style="10" bestFit="1" customWidth="1"/>
    <col min="38" max="38" width="7.42578125" style="10" bestFit="1" customWidth="1"/>
    <col min="39" max="39" width="5.42578125" style="10" bestFit="1" customWidth="1"/>
    <col min="40" max="40" width="7.42578125" style="10" bestFit="1" customWidth="1"/>
    <col min="41" max="41" width="5.42578125" style="10" bestFit="1" customWidth="1"/>
    <col min="42" max="42" width="7.42578125" style="10" bestFit="1" customWidth="1"/>
    <col min="43" max="16384" width="9.140625" style="10"/>
  </cols>
  <sheetData>
    <row r="2" spans="3:25" ht="26.25">
      <c r="C2" s="124" t="s">
        <v>292</v>
      </c>
    </row>
    <row r="4" spans="3:25">
      <c r="E4" s="22" t="str">
        <f>'Operation &amp; WC-CFL'!C7</f>
        <v>FY01</v>
      </c>
      <c r="F4" s="22" t="str">
        <f>'Operation &amp; WC-CFL'!D7</f>
        <v>FY02</v>
      </c>
      <c r="G4" s="22" t="str">
        <f>'Operation &amp; WC-CFL'!E7</f>
        <v>FY03</v>
      </c>
      <c r="H4" s="22" t="str">
        <f>'Operation &amp; WC-CFL'!F7</f>
        <v>FY04</v>
      </c>
      <c r="I4" s="22" t="str">
        <f>'Operation &amp; WC-CFL'!G7</f>
        <v>FY05</v>
      </c>
      <c r="J4" s="22" t="str">
        <f>'Operation &amp; WC-CFL'!H7</f>
        <v>FY06</v>
      </c>
      <c r="K4" s="22" t="str">
        <f>'Operation &amp; WC-CFL'!I7</f>
        <v>FY07</v>
      </c>
      <c r="L4" s="22" t="str">
        <f>'Operation &amp; WC-CFL'!J7</f>
        <v>FY08</v>
      </c>
      <c r="M4" s="22" t="str">
        <f>'Operation &amp; WC-CFL'!K7</f>
        <v>FY09</v>
      </c>
      <c r="N4" s="22" t="str">
        <f>'Operation &amp; WC-CFL'!L7</f>
        <v>FY10</v>
      </c>
      <c r="O4" s="22" t="str">
        <f>'Operation &amp; WC-CFL'!M7</f>
        <v>FY11</v>
      </c>
      <c r="P4" s="22" t="str">
        <f>'Operation &amp; WC-CFL'!N7</f>
        <v>FY12</v>
      </c>
      <c r="Q4" s="22" t="str">
        <f>'Operation &amp; WC-CFL'!O7</f>
        <v>FY13</v>
      </c>
      <c r="R4" s="22" t="str">
        <f>'Operation &amp; WC-CFL'!P7</f>
        <v>FY14</v>
      </c>
      <c r="S4" s="22" t="str">
        <f>'Operation &amp; WC-CFL'!Q7</f>
        <v>FY15</v>
      </c>
      <c r="T4" s="22" t="str">
        <f>'Operation &amp; WC-CFL'!R7</f>
        <v>FY16</v>
      </c>
      <c r="U4" s="22" t="str">
        <f>'Operation &amp; WC-CFL'!S7</f>
        <v>FY17</v>
      </c>
      <c r="V4" s="22" t="str">
        <f>'Operation &amp; WC-CFL'!T7</f>
        <v>FY18</v>
      </c>
      <c r="W4" s="22" t="str">
        <f>'Operation &amp; WC-CFL'!U7</f>
        <v>FY19</v>
      </c>
      <c r="X4" s="22" t="str">
        <f>'Operation &amp; WC-CFL'!V7</f>
        <v>FY20</v>
      </c>
      <c r="Y4" s="22" t="str">
        <f>'Operation &amp; WC-CFL'!W7</f>
        <v>FY21</v>
      </c>
    </row>
    <row r="5" spans="3:25" ht="15">
      <c r="C5" s="7" t="s">
        <v>28</v>
      </c>
      <c r="D5" s="9"/>
      <c r="E5" s="9"/>
      <c r="F5" s="9"/>
      <c r="G5" s="9"/>
      <c r="H5" s="9"/>
      <c r="I5" s="9"/>
      <c r="J5" s="9"/>
      <c r="K5" s="9"/>
      <c r="L5" s="9"/>
      <c r="M5" s="9"/>
      <c r="N5" s="9"/>
      <c r="O5" s="9"/>
      <c r="P5" s="9"/>
      <c r="Q5" s="9"/>
      <c r="R5" s="9"/>
      <c r="S5" s="9"/>
      <c r="T5" s="9"/>
      <c r="U5" s="9"/>
      <c r="V5" s="9"/>
      <c r="W5" s="9"/>
      <c r="X5" s="9"/>
      <c r="Y5" s="9"/>
    </row>
    <row r="6" spans="3:25">
      <c r="C6" s="9"/>
      <c r="D6" s="9"/>
      <c r="E6" s="9"/>
      <c r="F6" s="9"/>
      <c r="G6" s="9"/>
      <c r="H6" s="9"/>
      <c r="I6" s="9"/>
      <c r="J6" s="9"/>
      <c r="K6" s="9"/>
      <c r="L6" s="9"/>
      <c r="M6" s="9"/>
      <c r="N6" s="9"/>
      <c r="O6" s="9"/>
      <c r="P6" s="9"/>
      <c r="Q6" s="9"/>
      <c r="R6" s="9"/>
      <c r="S6" s="9"/>
      <c r="T6" s="9"/>
      <c r="U6" s="9"/>
      <c r="V6" s="9"/>
      <c r="W6" s="9"/>
      <c r="X6" s="9"/>
      <c r="Y6" s="9"/>
    </row>
    <row r="7" spans="3:25">
      <c r="C7" s="9" t="s">
        <v>29</v>
      </c>
      <c r="D7" s="11">
        <f>'Assum-CFL'!C12</f>
        <v>2257.3788</v>
      </c>
      <c r="E7" s="9"/>
      <c r="F7" s="9"/>
      <c r="G7" s="9"/>
      <c r="H7" s="9"/>
      <c r="I7" s="9"/>
      <c r="J7" s="9"/>
      <c r="K7" s="9"/>
      <c r="L7" s="9"/>
      <c r="M7" s="9"/>
      <c r="N7" s="9"/>
      <c r="O7" s="9"/>
      <c r="P7" s="9"/>
      <c r="Q7" s="9"/>
      <c r="R7" s="9"/>
      <c r="S7" s="9"/>
      <c r="T7" s="9"/>
      <c r="U7" s="9"/>
      <c r="V7" s="9"/>
      <c r="W7" s="9"/>
      <c r="X7" s="9"/>
      <c r="Y7" s="9"/>
    </row>
    <row r="8" spans="3:25">
      <c r="C8" s="9" t="s">
        <v>30</v>
      </c>
      <c r="D8" s="9"/>
      <c r="E8" s="9"/>
      <c r="F8" s="9"/>
      <c r="G8" s="9"/>
      <c r="H8" s="9"/>
      <c r="I8" s="9"/>
      <c r="J8" s="9"/>
      <c r="K8" s="9"/>
      <c r="L8" s="9"/>
      <c r="M8" s="9"/>
      <c r="N8" s="9"/>
      <c r="O8" s="9"/>
      <c r="P8" s="9"/>
      <c r="Q8" s="9"/>
      <c r="R8" s="9"/>
      <c r="S8" s="9"/>
      <c r="T8" s="9"/>
      <c r="U8" s="9"/>
      <c r="V8" s="9"/>
      <c r="W8" s="9"/>
      <c r="X8" s="9"/>
      <c r="Y8" s="9"/>
    </row>
    <row r="9" spans="3:25">
      <c r="C9" s="9" t="s">
        <v>39</v>
      </c>
      <c r="D9" s="11">
        <f>'Assum-CFL'!C4</f>
        <v>200</v>
      </c>
      <c r="E9" s="9"/>
      <c r="F9" s="9"/>
      <c r="G9" s="9"/>
      <c r="H9" s="9"/>
      <c r="I9" s="9"/>
      <c r="J9" s="9"/>
      <c r="K9" s="9"/>
      <c r="L9" s="9"/>
      <c r="M9" s="9"/>
      <c r="N9" s="9"/>
      <c r="O9" s="9"/>
      <c r="P9" s="9"/>
      <c r="Q9" s="9"/>
      <c r="R9" s="9"/>
      <c r="S9" s="9"/>
      <c r="T9" s="9"/>
      <c r="U9" s="9"/>
      <c r="V9" s="9"/>
      <c r="W9" s="9"/>
      <c r="X9" s="9"/>
      <c r="Y9" s="9"/>
    </row>
    <row r="10" spans="3:25">
      <c r="C10" s="9" t="s">
        <v>72</v>
      </c>
      <c r="D10" s="11">
        <f>'Assum-CFL'!C8</f>
        <v>29.09</v>
      </c>
      <c r="E10" s="9"/>
      <c r="F10" s="9"/>
      <c r="G10" s="9"/>
      <c r="H10" s="9"/>
      <c r="I10" s="9"/>
      <c r="J10" s="9"/>
      <c r="K10" s="9"/>
      <c r="L10" s="9"/>
      <c r="M10" s="9"/>
      <c r="N10" s="9"/>
      <c r="O10" s="9"/>
      <c r="P10" s="9"/>
      <c r="Q10" s="9"/>
      <c r="R10" s="9"/>
      <c r="S10" s="9"/>
      <c r="T10" s="9"/>
      <c r="U10" s="9"/>
      <c r="V10" s="9"/>
      <c r="W10" s="9"/>
      <c r="X10" s="9"/>
      <c r="Y10" s="9"/>
    </row>
    <row r="11" spans="3:25">
      <c r="C11" s="9" t="s">
        <v>73</v>
      </c>
      <c r="D11" s="11">
        <f>'Assum-CFL'!C9</f>
        <v>30</v>
      </c>
      <c r="E11" s="9"/>
      <c r="F11" s="9"/>
      <c r="G11" s="9"/>
      <c r="H11" s="9"/>
      <c r="I11" s="9"/>
      <c r="J11" s="9"/>
      <c r="K11" s="9"/>
      <c r="L11" s="9"/>
      <c r="M11" s="9"/>
      <c r="N11" s="9"/>
      <c r="O11" s="9"/>
      <c r="P11" s="9"/>
      <c r="Q11" s="9"/>
      <c r="R11" s="9"/>
      <c r="S11" s="9"/>
      <c r="T11" s="9"/>
      <c r="U11" s="9"/>
      <c r="V11" s="9"/>
      <c r="W11" s="9"/>
      <c r="X11" s="9"/>
      <c r="Y11" s="9"/>
    </row>
    <row r="12" spans="3:25">
      <c r="C12" s="9" t="s">
        <v>74</v>
      </c>
      <c r="D12" s="11">
        <f>'Assum-CFL'!C10</f>
        <v>58.15</v>
      </c>
      <c r="E12" s="9"/>
      <c r="F12" s="9"/>
      <c r="G12" s="9"/>
      <c r="H12" s="9"/>
      <c r="I12" s="9"/>
      <c r="J12" s="9"/>
      <c r="K12" s="9"/>
      <c r="L12" s="9"/>
      <c r="M12" s="9"/>
      <c r="N12" s="9"/>
      <c r="O12" s="9"/>
      <c r="P12" s="9"/>
      <c r="Q12" s="9"/>
      <c r="R12" s="9"/>
      <c r="S12" s="9"/>
      <c r="T12" s="9"/>
      <c r="U12" s="9"/>
      <c r="V12" s="9"/>
      <c r="W12" s="9"/>
      <c r="X12" s="9"/>
      <c r="Y12" s="9"/>
    </row>
    <row r="13" spans="3:25">
      <c r="C13" s="9" t="s">
        <v>75</v>
      </c>
      <c r="D13" s="11">
        <f>'Assum-CFL'!C11</f>
        <v>89.31</v>
      </c>
      <c r="E13" s="9"/>
      <c r="F13" s="9"/>
      <c r="G13" s="9"/>
      <c r="H13" s="9"/>
      <c r="I13" s="9"/>
      <c r="J13" s="9"/>
      <c r="K13" s="9"/>
      <c r="L13" s="9"/>
      <c r="M13" s="9"/>
      <c r="N13" s="9"/>
      <c r="O13" s="9"/>
      <c r="P13" s="9"/>
      <c r="Q13" s="9"/>
      <c r="R13" s="9"/>
      <c r="S13" s="9"/>
      <c r="T13" s="9"/>
      <c r="U13" s="9"/>
      <c r="V13" s="9"/>
      <c r="W13" s="9"/>
      <c r="X13" s="9"/>
      <c r="Y13" s="9"/>
    </row>
    <row r="14" spans="3:25">
      <c r="C14" s="9"/>
      <c r="D14" s="11">
        <f>+D7-SUM(D9:D13)</f>
        <v>1850.8288</v>
      </c>
      <c r="E14" s="9"/>
      <c r="F14" s="9"/>
      <c r="G14" s="9"/>
      <c r="H14" s="9"/>
      <c r="I14" s="9"/>
      <c r="J14" s="9"/>
      <c r="K14" s="9"/>
      <c r="L14" s="9"/>
      <c r="M14" s="9"/>
      <c r="N14" s="9"/>
      <c r="O14" s="9"/>
      <c r="P14" s="9"/>
      <c r="Q14" s="9"/>
      <c r="R14" s="9"/>
      <c r="S14" s="9"/>
      <c r="T14" s="9"/>
      <c r="U14" s="9"/>
      <c r="V14" s="9"/>
      <c r="W14" s="9"/>
      <c r="X14" s="9"/>
      <c r="Y14" s="9"/>
    </row>
    <row r="15" spans="3:25" ht="15">
      <c r="C15" s="7" t="s">
        <v>31</v>
      </c>
      <c r="D15" s="9"/>
      <c r="E15" s="9" t="s">
        <v>52</v>
      </c>
      <c r="F15" s="9"/>
      <c r="G15" s="9"/>
      <c r="H15" s="9"/>
      <c r="I15" s="9"/>
      <c r="J15" s="9"/>
      <c r="K15" s="9"/>
      <c r="L15" s="9"/>
      <c r="M15" s="9"/>
      <c r="N15" s="9"/>
      <c r="O15" s="9"/>
      <c r="P15" s="9"/>
      <c r="Q15" s="9"/>
      <c r="R15" s="9"/>
      <c r="S15" s="9"/>
      <c r="T15" s="9"/>
      <c r="U15" s="9"/>
      <c r="V15" s="9"/>
      <c r="W15" s="9"/>
      <c r="X15" s="9"/>
      <c r="Y15" s="9"/>
    </row>
    <row r="16" spans="3:25">
      <c r="C16" s="10" t="s">
        <v>38</v>
      </c>
      <c r="D16" s="9"/>
      <c r="E16" s="9"/>
      <c r="F16" s="9"/>
      <c r="G16" s="9"/>
      <c r="H16" s="9"/>
      <c r="I16" s="9"/>
      <c r="J16" s="9"/>
      <c r="K16" s="9"/>
      <c r="L16" s="9"/>
      <c r="M16" s="9"/>
      <c r="N16" s="9"/>
      <c r="O16" s="9"/>
      <c r="P16" s="9"/>
      <c r="Q16" s="9"/>
      <c r="R16" s="9"/>
      <c r="S16" s="9"/>
      <c r="T16" s="9"/>
      <c r="U16" s="9"/>
      <c r="V16" s="9"/>
      <c r="W16" s="9"/>
      <c r="X16" s="9"/>
      <c r="Y16" s="9"/>
    </row>
    <row r="17" spans="2:25">
      <c r="C17" s="10" t="s">
        <v>71</v>
      </c>
      <c r="D17" s="64">
        <f>'Assum-CFL'!C44</f>
        <v>0.1</v>
      </c>
      <c r="E17" s="11">
        <f>'Assum-CFL'!$C$5</f>
        <v>339.4</v>
      </c>
      <c r="F17" s="9"/>
      <c r="G17" s="9"/>
      <c r="H17" s="9"/>
      <c r="I17" s="9"/>
      <c r="J17" s="9"/>
      <c r="K17" s="9"/>
      <c r="L17" s="9"/>
      <c r="M17" s="9"/>
      <c r="N17" s="9"/>
      <c r="O17" s="9"/>
      <c r="P17" s="9"/>
      <c r="Q17" s="9"/>
      <c r="R17" s="9"/>
      <c r="S17" s="9"/>
      <c r="T17" s="9"/>
      <c r="U17" s="9"/>
      <c r="V17" s="9"/>
      <c r="W17" s="9"/>
      <c r="X17" s="9"/>
      <c r="Y17" s="9"/>
    </row>
    <row r="18" spans="2:25">
      <c r="C18" s="10" t="s">
        <v>36</v>
      </c>
      <c r="D18" s="64">
        <f>'Assum-CFL'!C45</f>
        <v>0.15</v>
      </c>
      <c r="E18" s="11">
        <f>'Assum-CFL'!$C$6</f>
        <v>1496.4287999999999</v>
      </c>
      <c r="F18" s="9"/>
      <c r="G18" s="9"/>
      <c r="H18" s="9"/>
      <c r="I18" s="9"/>
      <c r="J18" s="9"/>
      <c r="K18" s="9"/>
      <c r="L18" s="9"/>
      <c r="M18" s="9"/>
      <c r="N18" s="9"/>
      <c r="O18" s="9"/>
      <c r="P18" s="9"/>
      <c r="Q18" s="9"/>
      <c r="R18" s="9"/>
      <c r="S18" s="9"/>
      <c r="T18" s="9"/>
      <c r="U18" s="9"/>
      <c r="V18" s="9"/>
      <c r="W18" s="9"/>
      <c r="X18" s="9"/>
      <c r="Y18" s="9"/>
    </row>
    <row r="19" spans="2:25">
      <c r="C19" s="10" t="s">
        <v>51</v>
      </c>
      <c r="D19" s="64">
        <f>'Assum-CFL'!C46</f>
        <v>0.15</v>
      </c>
      <c r="E19" s="11">
        <f>('Assum-CFL'!$C$7)</f>
        <v>15</v>
      </c>
      <c r="F19" s="9"/>
      <c r="G19" s="9"/>
      <c r="H19" s="9"/>
      <c r="I19" s="9"/>
      <c r="J19" s="9"/>
      <c r="K19" s="9"/>
      <c r="L19" s="9"/>
      <c r="M19" s="9"/>
      <c r="N19" s="9"/>
      <c r="O19" s="9"/>
      <c r="P19" s="9"/>
      <c r="Q19" s="9"/>
      <c r="R19" s="9"/>
      <c r="S19" s="9"/>
      <c r="T19" s="9"/>
      <c r="U19" s="9"/>
      <c r="V19" s="9"/>
      <c r="W19" s="9"/>
      <c r="X19" s="9"/>
      <c r="Y19" s="9"/>
    </row>
    <row r="20" spans="2:25">
      <c r="D20" s="71"/>
      <c r="E20" s="72"/>
      <c r="F20" s="73"/>
      <c r="G20" s="74"/>
      <c r="H20" s="73"/>
      <c r="I20" s="74"/>
      <c r="J20" s="73"/>
      <c r="K20" s="74"/>
      <c r="L20" s="73"/>
      <c r="M20" s="74"/>
      <c r="N20" s="73"/>
      <c r="O20" s="74"/>
      <c r="P20" s="73"/>
      <c r="Q20" s="74"/>
      <c r="R20" s="73"/>
      <c r="S20" s="74"/>
      <c r="T20" s="73"/>
      <c r="U20" s="74"/>
      <c r="V20" s="73"/>
      <c r="W20" s="74"/>
      <c r="X20" s="74"/>
      <c r="Y20" s="74"/>
    </row>
    <row r="21" spans="2:25" ht="15">
      <c r="B21" s="75" t="s">
        <v>216</v>
      </c>
      <c r="C21" s="7"/>
      <c r="D21" s="9"/>
      <c r="E21" s="9" t="s">
        <v>215</v>
      </c>
      <c r="F21" s="9"/>
      <c r="G21" s="9"/>
      <c r="H21" s="9"/>
      <c r="I21" s="9"/>
      <c r="J21" s="9"/>
      <c r="K21" s="9"/>
      <c r="L21" s="9"/>
      <c r="M21" s="9"/>
      <c r="N21" s="9"/>
      <c r="O21" s="9"/>
      <c r="P21" s="9"/>
      <c r="Q21" s="9"/>
      <c r="R21" s="9"/>
      <c r="S21" s="9"/>
      <c r="T21" s="9"/>
      <c r="U21" s="9"/>
      <c r="V21" s="9"/>
      <c r="W21" s="9"/>
      <c r="X21" s="9"/>
      <c r="Y21" s="9"/>
    </row>
    <row r="22" spans="2:25">
      <c r="C22" s="9" t="s">
        <v>71</v>
      </c>
      <c r="D22" s="9"/>
      <c r="E22" s="9"/>
      <c r="F22" s="9"/>
      <c r="G22" s="9"/>
      <c r="H22" s="9"/>
      <c r="I22" s="9"/>
      <c r="J22" s="9"/>
      <c r="K22" s="9"/>
      <c r="L22" s="9"/>
      <c r="M22" s="9"/>
      <c r="N22" s="9"/>
      <c r="O22" s="9"/>
      <c r="P22" s="9"/>
      <c r="Q22" s="9"/>
      <c r="R22" s="9"/>
      <c r="S22" s="9"/>
      <c r="T22" s="9"/>
      <c r="U22" s="9"/>
      <c r="V22" s="9"/>
      <c r="W22" s="9"/>
      <c r="X22" s="9"/>
      <c r="Y22" s="9"/>
    </row>
    <row r="23" spans="2:25">
      <c r="C23" s="70" t="s">
        <v>213</v>
      </c>
      <c r="D23" s="9"/>
      <c r="E23" s="11">
        <f>E17</f>
        <v>339.4</v>
      </c>
      <c r="F23" s="11">
        <f>E25</f>
        <v>305.45999999999998</v>
      </c>
      <c r="G23" s="11">
        <f t="shared" ref="G23:W23" si="0">F25</f>
        <v>274.91399999999999</v>
      </c>
      <c r="H23" s="11">
        <f t="shared" si="0"/>
        <v>247.42259999999999</v>
      </c>
      <c r="I23" s="11">
        <f t="shared" si="0"/>
        <v>222.68034</v>
      </c>
      <c r="J23" s="11">
        <f t="shared" si="0"/>
        <v>200.412306</v>
      </c>
      <c r="K23" s="11">
        <f t="shared" si="0"/>
        <v>180.3710754</v>
      </c>
      <c r="L23" s="11">
        <f t="shared" si="0"/>
        <v>162.33396786</v>
      </c>
      <c r="M23" s="11">
        <f t="shared" si="0"/>
        <v>146.10057107400002</v>
      </c>
      <c r="N23" s="11">
        <f t="shared" si="0"/>
        <v>131.49051396660002</v>
      </c>
      <c r="O23" s="11">
        <f t="shared" si="0"/>
        <v>118.34146256994002</v>
      </c>
      <c r="P23" s="11">
        <f t="shared" si="0"/>
        <v>106.50731631294602</v>
      </c>
      <c r="Q23" s="11">
        <f t="shared" si="0"/>
        <v>95.856584681651412</v>
      </c>
      <c r="R23" s="11">
        <f t="shared" si="0"/>
        <v>86.270926213486277</v>
      </c>
      <c r="S23" s="11">
        <f t="shared" si="0"/>
        <v>77.643833592137653</v>
      </c>
      <c r="T23" s="11">
        <f t="shared" si="0"/>
        <v>69.879450232923887</v>
      </c>
      <c r="U23" s="11">
        <f t="shared" si="0"/>
        <v>62.891505209631497</v>
      </c>
      <c r="V23" s="11">
        <f t="shared" si="0"/>
        <v>56.602354688668349</v>
      </c>
      <c r="W23" s="11">
        <f t="shared" si="0"/>
        <v>50.942119219801512</v>
      </c>
      <c r="X23" s="11">
        <f>W25</f>
        <v>45.847907297821358</v>
      </c>
      <c r="Y23" s="11">
        <f>X25</f>
        <v>41.263116568039223</v>
      </c>
    </row>
    <row r="24" spans="2:25">
      <c r="C24" s="70" t="s">
        <v>27</v>
      </c>
      <c r="D24" s="9"/>
      <c r="E24" s="11">
        <f>E23*$D$17</f>
        <v>33.94</v>
      </c>
      <c r="F24" s="11">
        <f>F23*$D$17</f>
        <v>30.545999999999999</v>
      </c>
      <c r="G24" s="11">
        <f t="shared" ref="G24:L24" si="1">G23*$D$17</f>
        <v>27.491399999999999</v>
      </c>
      <c r="H24" s="11">
        <f t="shared" si="1"/>
        <v>24.742260000000002</v>
      </c>
      <c r="I24" s="11">
        <f t="shared" si="1"/>
        <v>22.268034</v>
      </c>
      <c r="J24" s="11">
        <f t="shared" si="1"/>
        <v>20.041230600000002</v>
      </c>
      <c r="K24" s="11">
        <f t="shared" si="1"/>
        <v>18.037107540000001</v>
      </c>
      <c r="L24" s="11">
        <f t="shared" si="1"/>
        <v>16.233396786</v>
      </c>
      <c r="M24" s="11">
        <f t="shared" ref="M24:W24" si="2">M23*$D$17</f>
        <v>14.610057107400003</v>
      </c>
      <c r="N24" s="11">
        <f t="shared" si="2"/>
        <v>13.149051396660003</v>
      </c>
      <c r="O24" s="11">
        <f t="shared" si="2"/>
        <v>11.834146256994003</v>
      </c>
      <c r="P24" s="11">
        <f t="shared" si="2"/>
        <v>10.650731631294603</v>
      </c>
      <c r="Q24" s="11">
        <f t="shared" si="2"/>
        <v>9.5856584681651409</v>
      </c>
      <c r="R24" s="11">
        <f t="shared" si="2"/>
        <v>8.6270926213486288</v>
      </c>
      <c r="S24" s="11">
        <f t="shared" si="2"/>
        <v>7.7643833592137659</v>
      </c>
      <c r="T24" s="11">
        <f t="shared" si="2"/>
        <v>6.9879450232923892</v>
      </c>
      <c r="U24" s="11">
        <f t="shared" si="2"/>
        <v>6.2891505209631502</v>
      </c>
      <c r="V24" s="11">
        <f t="shared" si="2"/>
        <v>5.6602354688668353</v>
      </c>
      <c r="W24" s="11">
        <f t="shared" si="2"/>
        <v>5.0942119219801514</v>
      </c>
      <c r="X24" s="11">
        <f>X23*$D$17</f>
        <v>4.584790729782136</v>
      </c>
      <c r="Y24" s="11">
        <f>Y23*$D$17</f>
        <v>4.1263116568039226</v>
      </c>
    </row>
    <row r="25" spans="2:25">
      <c r="C25" s="70" t="s">
        <v>53</v>
      </c>
      <c r="D25" s="9"/>
      <c r="E25" s="11">
        <f t="shared" ref="E25:W25" si="3">E23-E24</f>
        <v>305.45999999999998</v>
      </c>
      <c r="F25" s="11">
        <f t="shared" si="3"/>
        <v>274.91399999999999</v>
      </c>
      <c r="G25" s="11">
        <f t="shared" si="3"/>
        <v>247.42259999999999</v>
      </c>
      <c r="H25" s="11">
        <f t="shared" si="3"/>
        <v>222.68034</v>
      </c>
      <c r="I25" s="11">
        <f t="shared" si="3"/>
        <v>200.412306</v>
      </c>
      <c r="J25" s="11">
        <f t="shared" si="3"/>
        <v>180.3710754</v>
      </c>
      <c r="K25" s="11">
        <f t="shared" si="3"/>
        <v>162.33396786</v>
      </c>
      <c r="L25" s="11">
        <f t="shared" si="3"/>
        <v>146.10057107400002</v>
      </c>
      <c r="M25" s="11">
        <f t="shared" si="3"/>
        <v>131.49051396660002</v>
      </c>
      <c r="N25" s="11">
        <f t="shared" si="3"/>
        <v>118.34146256994002</v>
      </c>
      <c r="O25" s="11">
        <f t="shared" si="3"/>
        <v>106.50731631294602</v>
      </c>
      <c r="P25" s="11">
        <f t="shared" si="3"/>
        <v>95.856584681651412</v>
      </c>
      <c r="Q25" s="11">
        <f t="shared" si="3"/>
        <v>86.270926213486277</v>
      </c>
      <c r="R25" s="11">
        <f t="shared" si="3"/>
        <v>77.643833592137653</v>
      </c>
      <c r="S25" s="11">
        <f t="shared" si="3"/>
        <v>69.879450232923887</v>
      </c>
      <c r="T25" s="11">
        <f t="shared" si="3"/>
        <v>62.891505209631497</v>
      </c>
      <c r="U25" s="11">
        <f t="shared" si="3"/>
        <v>56.602354688668349</v>
      </c>
      <c r="V25" s="11">
        <f t="shared" si="3"/>
        <v>50.942119219801512</v>
      </c>
      <c r="W25" s="11">
        <f t="shared" si="3"/>
        <v>45.847907297821358</v>
      </c>
      <c r="X25" s="11">
        <f>X23-X24</f>
        <v>41.263116568039223</v>
      </c>
      <c r="Y25" s="11">
        <f>Y23-Y24</f>
        <v>37.136804911235302</v>
      </c>
    </row>
    <row r="26" spans="2:25">
      <c r="C26" s="9" t="s">
        <v>36</v>
      </c>
      <c r="D26" s="9"/>
      <c r="E26" s="9"/>
      <c r="F26" s="9"/>
      <c r="G26" s="9"/>
      <c r="H26" s="9"/>
      <c r="I26" s="9"/>
      <c r="J26" s="9"/>
      <c r="K26" s="9"/>
      <c r="L26" s="9"/>
      <c r="M26" s="9"/>
      <c r="N26" s="9"/>
      <c r="O26" s="9"/>
      <c r="P26" s="9"/>
      <c r="Q26" s="9"/>
      <c r="R26" s="9"/>
      <c r="S26" s="9"/>
      <c r="T26" s="9"/>
      <c r="U26" s="9"/>
      <c r="V26" s="9"/>
      <c r="W26" s="9"/>
      <c r="X26" s="9"/>
      <c r="Y26" s="9"/>
    </row>
    <row r="27" spans="2:25">
      <c r="C27" s="70" t="s">
        <v>213</v>
      </c>
      <c r="D27" s="9"/>
      <c r="E27" s="11">
        <f>E18</f>
        <v>1496.4287999999999</v>
      </c>
      <c r="F27" s="11">
        <f>E29</f>
        <v>1271.9644799999999</v>
      </c>
      <c r="G27" s="11">
        <f t="shared" ref="G27:W27" si="4">F29</f>
        <v>1081.1698079999999</v>
      </c>
      <c r="H27" s="11">
        <f t="shared" si="4"/>
        <v>918.99433679999993</v>
      </c>
      <c r="I27" s="11">
        <f t="shared" si="4"/>
        <v>781.14518627999996</v>
      </c>
      <c r="J27" s="11">
        <f t="shared" si="4"/>
        <v>663.97340833800001</v>
      </c>
      <c r="K27" s="11">
        <f t="shared" si="4"/>
        <v>564.37739708729998</v>
      </c>
      <c r="L27" s="11">
        <f t="shared" si="4"/>
        <v>479.72078752420498</v>
      </c>
      <c r="M27" s="11">
        <f t="shared" si="4"/>
        <v>407.76266939557422</v>
      </c>
      <c r="N27" s="11">
        <f t="shared" si="4"/>
        <v>346.59826898623811</v>
      </c>
      <c r="O27" s="11">
        <f t="shared" si="4"/>
        <v>294.6085286383024</v>
      </c>
      <c r="P27" s="11">
        <f t="shared" si="4"/>
        <v>250.41724934255706</v>
      </c>
      <c r="Q27" s="11">
        <f t="shared" si="4"/>
        <v>212.8546619411735</v>
      </c>
      <c r="R27" s="11">
        <f t="shared" si="4"/>
        <v>180.92646264999749</v>
      </c>
      <c r="S27" s="11">
        <f t="shared" si="4"/>
        <v>153.78749325249788</v>
      </c>
      <c r="T27" s="11">
        <f t="shared" si="4"/>
        <v>130.7193692646232</v>
      </c>
      <c r="U27" s="11">
        <f t="shared" si="4"/>
        <v>111.11146387492971</v>
      </c>
      <c r="V27" s="11">
        <f t="shared" si="4"/>
        <v>94.444744293690263</v>
      </c>
      <c r="W27" s="11">
        <f t="shared" si="4"/>
        <v>80.278032649636728</v>
      </c>
      <c r="X27" s="11">
        <f>W29</f>
        <v>68.236327752191215</v>
      </c>
      <c r="Y27" s="11">
        <f>X29</f>
        <v>58.000878589362536</v>
      </c>
    </row>
    <row r="28" spans="2:25">
      <c r="C28" s="70" t="s">
        <v>27</v>
      </c>
      <c r="D28" s="9"/>
      <c r="E28" s="11">
        <f>E27*$D$18</f>
        <v>224.46431999999999</v>
      </c>
      <c r="F28" s="11">
        <f>F27*$D$18</f>
        <v>190.79467199999996</v>
      </c>
      <c r="G28" s="11">
        <f t="shared" ref="G28:W28" si="5">G27*$D$18</f>
        <v>162.17547119999998</v>
      </c>
      <c r="H28" s="11">
        <f t="shared" si="5"/>
        <v>137.84915051999999</v>
      </c>
      <c r="I28" s="11">
        <f t="shared" si="5"/>
        <v>117.17177794199999</v>
      </c>
      <c r="J28" s="11">
        <f t="shared" si="5"/>
        <v>99.596011250700002</v>
      </c>
      <c r="K28" s="11">
        <f t="shared" si="5"/>
        <v>84.656609563094989</v>
      </c>
      <c r="L28" s="11">
        <f t="shared" si="5"/>
        <v>71.958118128630744</v>
      </c>
      <c r="M28" s="11">
        <f t="shared" si="5"/>
        <v>61.164400409336132</v>
      </c>
      <c r="N28" s="11">
        <f t="shared" si="5"/>
        <v>51.989740347935715</v>
      </c>
      <c r="O28" s="11">
        <f t="shared" si="5"/>
        <v>44.19127929574536</v>
      </c>
      <c r="P28" s="11">
        <f t="shared" si="5"/>
        <v>37.56258740138356</v>
      </c>
      <c r="Q28" s="11">
        <f t="shared" si="5"/>
        <v>31.928199291176025</v>
      </c>
      <c r="R28" s="11">
        <f t="shared" si="5"/>
        <v>27.138969397499622</v>
      </c>
      <c r="S28" s="11">
        <f t="shared" si="5"/>
        <v>23.068123987874682</v>
      </c>
      <c r="T28" s="11">
        <f t="shared" si="5"/>
        <v>19.607905389693478</v>
      </c>
      <c r="U28" s="11">
        <f t="shared" si="5"/>
        <v>16.666719581239455</v>
      </c>
      <c r="V28" s="11">
        <f t="shared" si="5"/>
        <v>14.166711644053539</v>
      </c>
      <c r="W28" s="11">
        <f t="shared" si="5"/>
        <v>12.041704897445509</v>
      </c>
      <c r="X28" s="11">
        <f>X27*$D$18</f>
        <v>10.235449162828681</v>
      </c>
      <c r="Y28" s="11">
        <f>Y27*$D$18</f>
        <v>8.7001317884043807</v>
      </c>
    </row>
    <row r="29" spans="2:25">
      <c r="C29" s="70" t="s">
        <v>53</v>
      </c>
      <c r="D29" s="9"/>
      <c r="E29" s="11">
        <f t="shared" ref="E29:W29" si="6">E27-E28</f>
        <v>1271.9644799999999</v>
      </c>
      <c r="F29" s="11">
        <f t="shared" si="6"/>
        <v>1081.1698079999999</v>
      </c>
      <c r="G29" s="11">
        <f t="shared" si="6"/>
        <v>918.99433679999993</v>
      </c>
      <c r="H29" s="11">
        <f t="shared" si="6"/>
        <v>781.14518627999996</v>
      </c>
      <c r="I29" s="11">
        <f t="shared" si="6"/>
        <v>663.97340833800001</v>
      </c>
      <c r="J29" s="11">
        <f t="shared" si="6"/>
        <v>564.37739708729998</v>
      </c>
      <c r="K29" s="11">
        <f t="shared" si="6"/>
        <v>479.72078752420498</v>
      </c>
      <c r="L29" s="11">
        <f t="shared" si="6"/>
        <v>407.76266939557422</v>
      </c>
      <c r="M29" s="11">
        <f t="shared" si="6"/>
        <v>346.59826898623811</v>
      </c>
      <c r="N29" s="11">
        <f t="shared" si="6"/>
        <v>294.6085286383024</v>
      </c>
      <c r="O29" s="11">
        <f t="shared" si="6"/>
        <v>250.41724934255706</v>
      </c>
      <c r="P29" s="11">
        <f t="shared" si="6"/>
        <v>212.8546619411735</v>
      </c>
      <c r="Q29" s="11">
        <f t="shared" si="6"/>
        <v>180.92646264999749</v>
      </c>
      <c r="R29" s="11">
        <f t="shared" si="6"/>
        <v>153.78749325249788</v>
      </c>
      <c r="S29" s="11">
        <f t="shared" si="6"/>
        <v>130.7193692646232</v>
      </c>
      <c r="T29" s="11">
        <f t="shared" si="6"/>
        <v>111.11146387492971</v>
      </c>
      <c r="U29" s="11">
        <f t="shared" si="6"/>
        <v>94.444744293690263</v>
      </c>
      <c r="V29" s="11">
        <f t="shared" si="6"/>
        <v>80.278032649636728</v>
      </c>
      <c r="W29" s="11">
        <f t="shared" si="6"/>
        <v>68.236327752191215</v>
      </c>
      <c r="X29" s="11">
        <f>X27-X28</f>
        <v>58.000878589362536</v>
      </c>
      <c r="Y29" s="11">
        <f>Y27-Y28</f>
        <v>49.300746800958152</v>
      </c>
    </row>
    <row r="30" spans="2:25">
      <c r="C30" s="9" t="s">
        <v>51</v>
      </c>
      <c r="D30" s="9"/>
      <c r="E30" s="9"/>
      <c r="F30" s="9"/>
      <c r="G30" s="9"/>
      <c r="H30" s="9"/>
      <c r="I30" s="9"/>
      <c r="J30" s="9"/>
      <c r="K30" s="9"/>
      <c r="L30" s="9"/>
      <c r="M30" s="9"/>
      <c r="N30" s="9"/>
      <c r="O30" s="9"/>
      <c r="P30" s="9"/>
      <c r="Q30" s="9"/>
      <c r="R30" s="9"/>
      <c r="S30" s="9"/>
      <c r="T30" s="9"/>
      <c r="U30" s="9"/>
      <c r="V30" s="9"/>
      <c r="W30" s="9"/>
      <c r="X30" s="9"/>
      <c r="Y30" s="9"/>
    </row>
    <row r="31" spans="2:25">
      <c r="C31" s="70" t="s">
        <v>213</v>
      </c>
      <c r="D31" s="9"/>
      <c r="E31" s="11">
        <f>E19</f>
        <v>15</v>
      </c>
      <c r="F31" s="11">
        <f>E33</f>
        <v>12.75</v>
      </c>
      <c r="G31" s="11">
        <f t="shared" ref="G31:W31" si="7">F33</f>
        <v>10.8375</v>
      </c>
      <c r="H31" s="11">
        <f t="shared" si="7"/>
        <v>9.2118750000000009</v>
      </c>
      <c r="I31" s="11">
        <f t="shared" si="7"/>
        <v>7.8300937500000005</v>
      </c>
      <c r="J31" s="11">
        <f t="shared" si="7"/>
        <v>6.6555796875000004</v>
      </c>
      <c r="K31" s="11">
        <f t="shared" si="7"/>
        <v>5.657242734375</v>
      </c>
      <c r="L31" s="11">
        <f t="shared" si="7"/>
        <v>4.8086563242187497</v>
      </c>
      <c r="M31" s="11">
        <f t="shared" si="7"/>
        <v>4.087357875585937</v>
      </c>
      <c r="N31" s="11">
        <f t="shared" si="7"/>
        <v>3.4742541942480463</v>
      </c>
      <c r="O31" s="11">
        <f t="shared" si="7"/>
        <v>2.9531160651108395</v>
      </c>
      <c r="P31" s="11">
        <f t="shared" si="7"/>
        <v>2.5101486553442136</v>
      </c>
      <c r="Q31" s="11">
        <f t="shared" si="7"/>
        <v>2.1336263570425817</v>
      </c>
      <c r="R31" s="11">
        <f t="shared" si="7"/>
        <v>1.8135824034861945</v>
      </c>
      <c r="S31" s="11">
        <f t="shared" si="7"/>
        <v>1.5415450429632653</v>
      </c>
      <c r="T31" s="11">
        <f t="shared" si="7"/>
        <v>1.3103132865187757</v>
      </c>
      <c r="U31" s="11">
        <f t="shared" si="7"/>
        <v>1.1137662935409594</v>
      </c>
      <c r="V31" s="11">
        <f t="shared" si="7"/>
        <v>0.94670134950981544</v>
      </c>
      <c r="W31" s="11">
        <f t="shared" si="7"/>
        <v>0.80469614708334314</v>
      </c>
      <c r="X31" s="11">
        <f>W33</f>
        <v>0.68399172502084171</v>
      </c>
      <c r="Y31" s="11">
        <f>X33</f>
        <v>0.58139296626771542</v>
      </c>
    </row>
    <row r="32" spans="2:25">
      <c r="C32" s="70" t="s">
        <v>27</v>
      </c>
      <c r="D32" s="9"/>
      <c r="E32" s="11">
        <f>E31*$D$19</f>
        <v>2.25</v>
      </c>
      <c r="F32" s="11">
        <f t="shared" ref="F32:W32" si="8">F31*$D$19</f>
        <v>1.9124999999999999</v>
      </c>
      <c r="G32" s="11">
        <f t="shared" si="8"/>
        <v>1.6256250000000001</v>
      </c>
      <c r="H32" s="11">
        <f t="shared" si="8"/>
        <v>1.3817812500000002</v>
      </c>
      <c r="I32" s="11">
        <f t="shared" si="8"/>
        <v>1.1745140625000001</v>
      </c>
      <c r="J32" s="11">
        <f t="shared" si="8"/>
        <v>0.99833695312500004</v>
      </c>
      <c r="K32" s="11">
        <f t="shared" si="8"/>
        <v>0.84858641015625003</v>
      </c>
      <c r="L32" s="11">
        <f t="shared" si="8"/>
        <v>0.72129844863281245</v>
      </c>
      <c r="M32" s="11">
        <f t="shared" si="8"/>
        <v>0.6131036813378905</v>
      </c>
      <c r="N32" s="11">
        <f t="shared" si="8"/>
        <v>0.52113812913720692</v>
      </c>
      <c r="O32" s="11">
        <f t="shared" si="8"/>
        <v>0.44296740976662591</v>
      </c>
      <c r="P32" s="11">
        <f t="shared" si="8"/>
        <v>0.37652229830163203</v>
      </c>
      <c r="Q32" s="11">
        <f t="shared" si="8"/>
        <v>0.32004395355638726</v>
      </c>
      <c r="R32" s="11">
        <f t="shared" si="8"/>
        <v>0.27203736052292915</v>
      </c>
      <c r="S32" s="11">
        <f t="shared" si="8"/>
        <v>0.23123175644448979</v>
      </c>
      <c r="T32" s="11">
        <f t="shared" si="8"/>
        <v>0.19654699297781633</v>
      </c>
      <c r="U32" s="11">
        <f t="shared" si="8"/>
        <v>0.16706494403114389</v>
      </c>
      <c r="V32" s="11">
        <f t="shared" si="8"/>
        <v>0.1420052024264723</v>
      </c>
      <c r="W32" s="11">
        <f t="shared" si="8"/>
        <v>0.12070442206250147</v>
      </c>
      <c r="X32" s="11">
        <f>X31*$D$19</f>
        <v>0.10259875875312625</v>
      </c>
      <c r="Y32" s="11">
        <f>Y31*$D$19</f>
        <v>8.720894494015731E-2</v>
      </c>
    </row>
    <row r="33" spans="2:25">
      <c r="C33" s="70" t="s">
        <v>53</v>
      </c>
      <c r="D33" s="9"/>
      <c r="E33" s="11">
        <f t="shared" ref="E33:W33" si="9">E31-E32</f>
        <v>12.75</v>
      </c>
      <c r="F33" s="11">
        <f t="shared" si="9"/>
        <v>10.8375</v>
      </c>
      <c r="G33" s="11">
        <f t="shared" si="9"/>
        <v>9.2118750000000009</v>
      </c>
      <c r="H33" s="11">
        <f t="shared" si="9"/>
        <v>7.8300937500000005</v>
      </c>
      <c r="I33" s="11">
        <f t="shared" si="9"/>
        <v>6.6555796875000004</v>
      </c>
      <c r="J33" s="11">
        <f t="shared" si="9"/>
        <v>5.657242734375</v>
      </c>
      <c r="K33" s="11">
        <f t="shared" si="9"/>
        <v>4.8086563242187497</v>
      </c>
      <c r="L33" s="11">
        <f t="shared" si="9"/>
        <v>4.087357875585937</v>
      </c>
      <c r="M33" s="11">
        <f t="shared" si="9"/>
        <v>3.4742541942480463</v>
      </c>
      <c r="N33" s="11">
        <f t="shared" si="9"/>
        <v>2.9531160651108395</v>
      </c>
      <c r="O33" s="11">
        <f t="shared" si="9"/>
        <v>2.5101486553442136</v>
      </c>
      <c r="P33" s="11">
        <f t="shared" si="9"/>
        <v>2.1336263570425817</v>
      </c>
      <c r="Q33" s="11">
        <f t="shared" si="9"/>
        <v>1.8135824034861945</v>
      </c>
      <c r="R33" s="11">
        <f t="shared" si="9"/>
        <v>1.5415450429632653</v>
      </c>
      <c r="S33" s="11">
        <f t="shared" si="9"/>
        <v>1.3103132865187757</v>
      </c>
      <c r="T33" s="11">
        <f t="shared" si="9"/>
        <v>1.1137662935409594</v>
      </c>
      <c r="U33" s="11">
        <f t="shared" si="9"/>
        <v>0.94670134950981544</v>
      </c>
      <c r="V33" s="11">
        <f t="shared" si="9"/>
        <v>0.80469614708334314</v>
      </c>
      <c r="W33" s="11">
        <f t="shared" si="9"/>
        <v>0.68399172502084171</v>
      </c>
      <c r="X33" s="11">
        <f>X31-X32</f>
        <v>0.58139296626771542</v>
      </c>
      <c r="Y33" s="11">
        <f>Y31-Y32</f>
        <v>0.49418402132755812</v>
      </c>
    </row>
    <row r="34" spans="2:25">
      <c r="C34" s="9" t="s">
        <v>217</v>
      </c>
      <c r="D34" s="9"/>
      <c r="E34" s="11">
        <f>E24+E28+E32</f>
        <v>260.65431999999998</v>
      </c>
      <c r="F34" s="11">
        <f t="shared" ref="F34:W34" si="10">F24+F28+F32</f>
        <v>223.25317199999995</v>
      </c>
      <c r="G34" s="11">
        <f t="shared" si="10"/>
        <v>191.29249619999999</v>
      </c>
      <c r="H34" s="11">
        <f t="shared" si="10"/>
        <v>163.97319177</v>
      </c>
      <c r="I34" s="11">
        <f t="shared" si="10"/>
        <v>140.61432600450001</v>
      </c>
      <c r="J34" s="11">
        <f t="shared" si="10"/>
        <v>120.63557880382501</v>
      </c>
      <c r="K34" s="11">
        <f t="shared" si="10"/>
        <v>103.54230351325124</v>
      </c>
      <c r="L34" s="11">
        <f t="shared" si="10"/>
        <v>88.912813363263552</v>
      </c>
      <c r="M34" s="11">
        <f t="shared" si="10"/>
        <v>76.387561198074025</v>
      </c>
      <c r="N34" s="11">
        <f t="shared" si="10"/>
        <v>65.659929873732935</v>
      </c>
      <c r="O34" s="11">
        <f t="shared" si="10"/>
        <v>56.468392962505987</v>
      </c>
      <c r="P34" s="11">
        <f t="shared" si="10"/>
        <v>48.589841330979795</v>
      </c>
      <c r="Q34" s="11">
        <f t="shared" si="10"/>
        <v>41.83390171289755</v>
      </c>
      <c r="R34" s="11">
        <f t="shared" si="10"/>
        <v>36.038099379371182</v>
      </c>
      <c r="S34" s="11">
        <f t="shared" si="10"/>
        <v>31.063739103532939</v>
      </c>
      <c r="T34" s="11">
        <f t="shared" si="10"/>
        <v>26.792397405963683</v>
      </c>
      <c r="U34" s="11">
        <f t="shared" si="10"/>
        <v>23.122935046233749</v>
      </c>
      <c r="V34" s="11">
        <f t="shared" si="10"/>
        <v>19.968952315346844</v>
      </c>
      <c r="W34" s="11">
        <f t="shared" si="10"/>
        <v>17.256621241488162</v>
      </c>
      <c r="X34" s="11">
        <f>X24+X28+X32</f>
        <v>14.922838651363945</v>
      </c>
      <c r="Y34" s="11">
        <f>Y24+Y28+Y32</f>
        <v>12.91365239014846</v>
      </c>
    </row>
    <row r="36" spans="2:25" ht="15">
      <c r="B36" s="75" t="s">
        <v>50</v>
      </c>
      <c r="C36" s="7"/>
      <c r="D36" s="9"/>
      <c r="E36" s="9" t="s">
        <v>215</v>
      </c>
      <c r="F36" s="9" t="s">
        <v>78</v>
      </c>
    </row>
    <row r="37" spans="2:25">
      <c r="C37" s="9" t="s">
        <v>38</v>
      </c>
      <c r="D37" s="9"/>
      <c r="E37" s="9"/>
      <c r="F37" s="9"/>
    </row>
    <row r="38" spans="2:25">
      <c r="C38" s="9" t="s">
        <v>71</v>
      </c>
      <c r="D38" s="76">
        <f>'Assum-CFL'!C48</f>
        <v>3.3399999999999999E-2</v>
      </c>
      <c r="E38" s="11">
        <f>+E17</f>
        <v>339.4</v>
      </c>
      <c r="F38" s="11">
        <f>D38*E38</f>
        <v>11.335959999999998</v>
      </c>
    </row>
    <row r="39" spans="2:25">
      <c r="C39" s="9" t="s">
        <v>36</v>
      </c>
      <c r="D39" s="76">
        <f>'Assum-CFL'!C49</f>
        <v>5.28E-2</v>
      </c>
      <c r="E39" s="11">
        <f>+E18</f>
        <v>1496.4287999999999</v>
      </c>
      <c r="F39" s="11">
        <f>D39*E39</f>
        <v>79.011440639999989</v>
      </c>
    </row>
    <row r="40" spans="2:25">
      <c r="C40" s="9" t="s">
        <v>51</v>
      </c>
      <c r="D40" s="76">
        <f>'Assum-CFL'!C50</f>
        <v>5.28E-2</v>
      </c>
      <c r="E40" s="11">
        <f>+E19</f>
        <v>15</v>
      </c>
      <c r="F40" s="11">
        <f>D40*E40</f>
        <v>0.79200000000000004</v>
      </c>
    </row>
    <row r="41" spans="2:25" ht="15">
      <c r="C41" s="7" t="s">
        <v>50</v>
      </c>
      <c r="D41" s="9"/>
      <c r="E41" s="9" t="s">
        <v>215</v>
      </c>
      <c r="F41" s="9"/>
      <c r="G41" s="9"/>
      <c r="H41" s="9"/>
      <c r="I41" s="9"/>
      <c r="J41" s="9"/>
      <c r="K41" s="9"/>
      <c r="L41" s="9"/>
      <c r="M41" s="9"/>
      <c r="N41" s="9"/>
      <c r="O41" s="9"/>
      <c r="P41" s="9"/>
      <c r="Q41" s="9"/>
      <c r="R41" s="9"/>
      <c r="S41" s="9"/>
      <c r="T41" s="9"/>
      <c r="U41" s="9"/>
      <c r="V41" s="9"/>
      <c r="W41" s="9"/>
      <c r="X41" s="9"/>
      <c r="Y41" s="9"/>
    </row>
    <row r="42" spans="2:25">
      <c r="C42" s="9" t="s">
        <v>71</v>
      </c>
      <c r="D42" s="9"/>
      <c r="E42" s="9"/>
      <c r="F42" s="9"/>
      <c r="G42" s="9"/>
      <c r="H42" s="9"/>
      <c r="I42" s="9"/>
      <c r="J42" s="9"/>
      <c r="K42" s="9"/>
      <c r="L42" s="9"/>
      <c r="M42" s="9"/>
      <c r="N42" s="9"/>
      <c r="O42" s="9"/>
      <c r="P42" s="9"/>
      <c r="Q42" s="9"/>
      <c r="R42" s="9"/>
      <c r="S42" s="9"/>
      <c r="T42" s="9"/>
      <c r="U42" s="9"/>
      <c r="V42" s="9"/>
      <c r="W42" s="9"/>
      <c r="X42" s="9"/>
      <c r="Y42" s="9"/>
    </row>
    <row r="43" spans="2:25">
      <c r="C43" s="70" t="s">
        <v>213</v>
      </c>
      <c r="D43" s="9"/>
      <c r="E43" s="11">
        <f>E38</f>
        <v>339.4</v>
      </c>
      <c r="F43" s="11">
        <f>E45</f>
        <v>331.84269333333333</v>
      </c>
      <c r="G43" s="11">
        <f t="shared" ref="G43:W43" si="11">F45</f>
        <v>320.50673333333333</v>
      </c>
      <c r="H43" s="11">
        <f t="shared" si="11"/>
        <v>309.17077333333333</v>
      </c>
      <c r="I43" s="11">
        <f t="shared" si="11"/>
        <v>297.83481333333333</v>
      </c>
      <c r="J43" s="11">
        <f t="shared" si="11"/>
        <v>286.49885333333333</v>
      </c>
      <c r="K43" s="11">
        <f t="shared" si="11"/>
        <v>275.16289333333333</v>
      </c>
      <c r="L43" s="11">
        <f t="shared" si="11"/>
        <v>263.82693333333333</v>
      </c>
      <c r="M43" s="11">
        <f t="shared" si="11"/>
        <v>252.49097333333333</v>
      </c>
      <c r="N43" s="11">
        <f t="shared" si="11"/>
        <v>241.15501333333333</v>
      </c>
      <c r="O43" s="11">
        <f t="shared" si="11"/>
        <v>229.81905333333333</v>
      </c>
      <c r="P43" s="11">
        <f t="shared" si="11"/>
        <v>218.48309333333333</v>
      </c>
      <c r="Q43" s="11">
        <f t="shared" si="11"/>
        <v>207.14713333333333</v>
      </c>
      <c r="R43" s="11">
        <f t="shared" si="11"/>
        <v>195.81117333333333</v>
      </c>
      <c r="S43" s="11">
        <f t="shared" si="11"/>
        <v>184.47521333333333</v>
      </c>
      <c r="T43" s="11">
        <f t="shared" si="11"/>
        <v>173.13925333333333</v>
      </c>
      <c r="U43" s="11">
        <f t="shared" si="11"/>
        <v>161.80329333333333</v>
      </c>
      <c r="V43" s="11">
        <f t="shared" si="11"/>
        <v>150.46733333333333</v>
      </c>
      <c r="W43" s="11">
        <f t="shared" si="11"/>
        <v>139.13137333333333</v>
      </c>
      <c r="X43" s="11">
        <f>W45</f>
        <v>127.79541333333333</v>
      </c>
      <c r="Y43" s="11">
        <f>X45</f>
        <v>116.45945333333333</v>
      </c>
    </row>
    <row r="44" spans="2:25">
      <c r="C44" s="70" t="s">
        <v>27</v>
      </c>
      <c r="D44" s="9"/>
      <c r="E44" s="11">
        <f>IF(E43&gt;$F$38,$F$38,E43)*(8/12)</f>
        <v>7.5573066666666655</v>
      </c>
      <c r="F44" s="11">
        <f>IF(F43&gt;$F$38,$F$38,F43)</f>
        <v>11.335959999999998</v>
      </c>
      <c r="G44" s="11">
        <f t="shared" ref="G44:W44" si="12">IF(G43&gt;$F$38,$F$38,G43)</f>
        <v>11.335959999999998</v>
      </c>
      <c r="H44" s="11">
        <f t="shared" si="12"/>
        <v>11.335959999999998</v>
      </c>
      <c r="I44" s="11">
        <f t="shared" si="12"/>
        <v>11.335959999999998</v>
      </c>
      <c r="J44" s="11">
        <f t="shared" si="12"/>
        <v>11.335959999999998</v>
      </c>
      <c r="K44" s="11">
        <f t="shared" si="12"/>
        <v>11.335959999999998</v>
      </c>
      <c r="L44" s="11">
        <f t="shared" si="12"/>
        <v>11.335959999999998</v>
      </c>
      <c r="M44" s="11">
        <f t="shared" si="12"/>
        <v>11.335959999999998</v>
      </c>
      <c r="N44" s="11">
        <f t="shared" si="12"/>
        <v>11.335959999999998</v>
      </c>
      <c r="O44" s="11">
        <f t="shared" si="12"/>
        <v>11.335959999999998</v>
      </c>
      <c r="P44" s="11">
        <f t="shared" si="12"/>
        <v>11.335959999999998</v>
      </c>
      <c r="Q44" s="11">
        <f t="shared" si="12"/>
        <v>11.335959999999998</v>
      </c>
      <c r="R44" s="11">
        <f t="shared" si="12"/>
        <v>11.335959999999998</v>
      </c>
      <c r="S44" s="11">
        <f t="shared" si="12"/>
        <v>11.335959999999998</v>
      </c>
      <c r="T44" s="11">
        <f t="shared" si="12"/>
        <v>11.335959999999998</v>
      </c>
      <c r="U44" s="11">
        <f t="shared" si="12"/>
        <v>11.335959999999998</v>
      </c>
      <c r="V44" s="11">
        <f t="shared" si="12"/>
        <v>11.335959999999998</v>
      </c>
      <c r="W44" s="11">
        <f t="shared" si="12"/>
        <v>11.335959999999998</v>
      </c>
      <c r="X44" s="11">
        <f>IF(X43&gt;$F$38,$F$38,X43)</f>
        <v>11.335959999999998</v>
      </c>
      <c r="Y44" s="11">
        <f>IF(Y43&gt;$F$38,$F$38,Y43)*(4/12)</f>
        <v>3.7786533333333328</v>
      </c>
    </row>
    <row r="45" spans="2:25">
      <c r="C45" s="70" t="s">
        <v>53</v>
      </c>
      <c r="D45" s="9"/>
      <c r="E45" s="11">
        <f>E43-E44</f>
        <v>331.84269333333333</v>
      </c>
      <c r="F45" s="11">
        <f>F43-F44</f>
        <v>320.50673333333333</v>
      </c>
      <c r="G45" s="11">
        <f t="shared" ref="G45:W45" si="13">G43-G44</f>
        <v>309.17077333333333</v>
      </c>
      <c r="H45" s="11">
        <f t="shared" si="13"/>
        <v>297.83481333333333</v>
      </c>
      <c r="I45" s="11">
        <f t="shared" si="13"/>
        <v>286.49885333333333</v>
      </c>
      <c r="J45" s="11">
        <f t="shared" si="13"/>
        <v>275.16289333333333</v>
      </c>
      <c r="K45" s="11">
        <f t="shared" si="13"/>
        <v>263.82693333333333</v>
      </c>
      <c r="L45" s="11">
        <f t="shared" si="13"/>
        <v>252.49097333333333</v>
      </c>
      <c r="M45" s="11">
        <f t="shared" si="13"/>
        <v>241.15501333333333</v>
      </c>
      <c r="N45" s="11">
        <f t="shared" si="13"/>
        <v>229.81905333333333</v>
      </c>
      <c r="O45" s="11">
        <f t="shared" si="13"/>
        <v>218.48309333333333</v>
      </c>
      <c r="P45" s="11">
        <f t="shared" si="13"/>
        <v>207.14713333333333</v>
      </c>
      <c r="Q45" s="11">
        <f t="shared" si="13"/>
        <v>195.81117333333333</v>
      </c>
      <c r="R45" s="11">
        <f t="shared" si="13"/>
        <v>184.47521333333333</v>
      </c>
      <c r="S45" s="11">
        <f t="shared" si="13"/>
        <v>173.13925333333333</v>
      </c>
      <c r="T45" s="11">
        <f t="shared" si="13"/>
        <v>161.80329333333333</v>
      </c>
      <c r="U45" s="11">
        <f t="shared" si="13"/>
        <v>150.46733333333333</v>
      </c>
      <c r="V45" s="11">
        <f t="shared" si="13"/>
        <v>139.13137333333333</v>
      </c>
      <c r="W45" s="11">
        <f t="shared" si="13"/>
        <v>127.79541333333333</v>
      </c>
      <c r="X45" s="11">
        <f>X43-X44</f>
        <v>116.45945333333333</v>
      </c>
      <c r="Y45" s="11">
        <f>Y43-Y44</f>
        <v>112.68079999999999</v>
      </c>
    </row>
    <row r="46" spans="2:25">
      <c r="C46" s="9" t="s">
        <v>36</v>
      </c>
      <c r="D46" s="9"/>
      <c r="E46" s="9"/>
      <c r="F46" s="9"/>
      <c r="G46" s="9"/>
      <c r="H46" s="9"/>
      <c r="I46" s="9"/>
      <c r="J46" s="9"/>
      <c r="K46" s="9"/>
      <c r="L46" s="9"/>
      <c r="M46" s="9"/>
      <c r="N46" s="9"/>
      <c r="O46" s="9"/>
      <c r="P46" s="9"/>
      <c r="Q46" s="9"/>
      <c r="R46" s="9"/>
      <c r="S46" s="9"/>
      <c r="T46" s="9"/>
      <c r="U46" s="9"/>
      <c r="V46" s="9"/>
      <c r="W46" s="9"/>
      <c r="X46" s="9"/>
      <c r="Y46" s="9"/>
    </row>
    <row r="47" spans="2:25">
      <c r="C47" s="70" t="s">
        <v>213</v>
      </c>
      <c r="D47" s="9"/>
      <c r="E47" s="11">
        <f>E39</f>
        <v>1496.4287999999999</v>
      </c>
      <c r="F47" s="11">
        <f>E49</f>
        <v>1443.75450624</v>
      </c>
      <c r="G47" s="11">
        <f t="shared" ref="G47:V47" si="14">F49</f>
        <v>1364.7430655999999</v>
      </c>
      <c r="H47" s="11">
        <f t="shared" si="14"/>
        <v>1285.7316249599999</v>
      </c>
      <c r="I47" s="11">
        <f t="shared" si="14"/>
        <v>1206.7201843199998</v>
      </c>
      <c r="J47" s="11">
        <f t="shared" si="14"/>
        <v>1127.7087436799998</v>
      </c>
      <c r="K47" s="11">
        <f t="shared" si="14"/>
        <v>1048.6973030399997</v>
      </c>
      <c r="L47" s="11">
        <f t="shared" si="14"/>
        <v>969.68586239999968</v>
      </c>
      <c r="M47" s="11">
        <f t="shared" si="14"/>
        <v>890.67442175999963</v>
      </c>
      <c r="N47" s="11">
        <f t="shared" si="14"/>
        <v>811.66298111999959</v>
      </c>
      <c r="O47" s="11">
        <f t="shared" si="14"/>
        <v>732.65154047999954</v>
      </c>
      <c r="P47" s="11">
        <f t="shared" si="14"/>
        <v>653.64009983999949</v>
      </c>
      <c r="Q47" s="11">
        <f t="shared" si="14"/>
        <v>574.62865919999945</v>
      </c>
      <c r="R47" s="11">
        <f t="shared" si="14"/>
        <v>495.61721855999946</v>
      </c>
      <c r="S47" s="11">
        <f t="shared" si="14"/>
        <v>416.60577791999947</v>
      </c>
      <c r="T47" s="11">
        <f t="shared" si="14"/>
        <v>337.59433727999948</v>
      </c>
      <c r="U47" s="11">
        <f t="shared" si="14"/>
        <v>258.58289663999949</v>
      </c>
      <c r="V47" s="11">
        <f t="shared" si="14"/>
        <v>179.5714559999995</v>
      </c>
      <c r="W47" s="11">
        <f>V49</f>
        <v>100.56001535999951</v>
      </c>
      <c r="X47" s="11">
        <f>W49</f>
        <v>21.548574719999522</v>
      </c>
      <c r="Y47" s="11">
        <f>X49</f>
        <v>0</v>
      </c>
    </row>
    <row r="48" spans="2:25">
      <c r="C48" s="70" t="s">
        <v>27</v>
      </c>
      <c r="D48" s="9"/>
      <c r="E48" s="11">
        <f>IF(E47&gt;$F$39,$F$39,E47)*(8/12)</f>
        <v>52.674293759999991</v>
      </c>
      <c r="F48" s="11">
        <f t="shared" ref="F48:W48" si="15">IF(F47&gt;$F$39,$F$39,F47)</f>
        <v>79.011440639999989</v>
      </c>
      <c r="G48" s="11">
        <f t="shared" si="15"/>
        <v>79.011440639999989</v>
      </c>
      <c r="H48" s="11">
        <f t="shared" si="15"/>
        <v>79.011440639999989</v>
      </c>
      <c r="I48" s="11">
        <f t="shared" si="15"/>
        <v>79.011440639999989</v>
      </c>
      <c r="J48" s="11">
        <f t="shared" si="15"/>
        <v>79.011440639999989</v>
      </c>
      <c r="K48" s="11">
        <f t="shared" si="15"/>
        <v>79.011440639999989</v>
      </c>
      <c r="L48" s="11">
        <f t="shared" si="15"/>
        <v>79.011440639999989</v>
      </c>
      <c r="M48" s="11">
        <f t="shared" si="15"/>
        <v>79.011440639999989</v>
      </c>
      <c r="N48" s="11">
        <f t="shared" si="15"/>
        <v>79.011440639999989</v>
      </c>
      <c r="O48" s="11">
        <f t="shared" si="15"/>
        <v>79.011440639999989</v>
      </c>
      <c r="P48" s="11">
        <f t="shared" si="15"/>
        <v>79.011440639999989</v>
      </c>
      <c r="Q48" s="11">
        <f t="shared" si="15"/>
        <v>79.011440639999989</v>
      </c>
      <c r="R48" s="11">
        <f t="shared" si="15"/>
        <v>79.011440639999989</v>
      </c>
      <c r="S48" s="11">
        <f t="shared" si="15"/>
        <v>79.011440639999989</v>
      </c>
      <c r="T48" s="11">
        <f t="shared" si="15"/>
        <v>79.011440639999989</v>
      </c>
      <c r="U48" s="11">
        <f t="shared" si="15"/>
        <v>79.011440639999989</v>
      </c>
      <c r="V48" s="11">
        <f t="shared" si="15"/>
        <v>79.011440639999989</v>
      </c>
      <c r="W48" s="11">
        <f t="shared" si="15"/>
        <v>79.011440639999989</v>
      </c>
      <c r="X48" s="11">
        <f>IF(X47&gt;$F$39,$F$39,X47)</f>
        <v>21.548574719999522</v>
      </c>
      <c r="Y48" s="11">
        <f>IF(Y47&gt;$F$39,$F$39,Y47)*(4/12)</f>
        <v>0</v>
      </c>
    </row>
    <row r="49" spans="3:25">
      <c r="C49" s="70" t="s">
        <v>53</v>
      </c>
      <c r="D49" s="9"/>
      <c r="E49" s="11">
        <f>E47-E48</f>
        <v>1443.75450624</v>
      </c>
      <c r="F49" s="11">
        <f>F47-F48</f>
        <v>1364.7430655999999</v>
      </c>
      <c r="G49" s="11">
        <f t="shared" ref="G49:W49" si="16">G47-G48</f>
        <v>1285.7316249599999</v>
      </c>
      <c r="H49" s="11">
        <f t="shared" si="16"/>
        <v>1206.7201843199998</v>
      </c>
      <c r="I49" s="11">
        <f t="shared" si="16"/>
        <v>1127.7087436799998</v>
      </c>
      <c r="J49" s="11">
        <f t="shared" si="16"/>
        <v>1048.6973030399997</v>
      </c>
      <c r="K49" s="11">
        <f t="shared" si="16"/>
        <v>969.68586239999968</v>
      </c>
      <c r="L49" s="11">
        <f t="shared" si="16"/>
        <v>890.67442175999963</v>
      </c>
      <c r="M49" s="11">
        <f t="shared" si="16"/>
        <v>811.66298111999959</v>
      </c>
      <c r="N49" s="11">
        <f t="shared" si="16"/>
        <v>732.65154047999954</v>
      </c>
      <c r="O49" s="11">
        <f t="shared" si="16"/>
        <v>653.64009983999949</v>
      </c>
      <c r="P49" s="11">
        <f t="shared" si="16"/>
        <v>574.62865919999945</v>
      </c>
      <c r="Q49" s="11">
        <f t="shared" si="16"/>
        <v>495.61721855999946</v>
      </c>
      <c r="R49" s="11">
        <f t="shared" si="16"/>
        <v>416.60577791999947</v>
      </c>
      <c r="S49" s="11">
        <f t="shared" si="16"/>
        <v>337.59433727999948</v>
      </c>
      <c r="T49" s="11">
        <f t="shared" si="16"/>
        <v>258.58289663999949</v>
      </c>
      <c r="U49" s="11">
        <f t="shared" si="16"/>
        <v>179.5714559999995</v>
      </c>
      <c r="V49" s="11">
        <f t="shared" si="16"/>
        <v>100.56001535999951</v>
      </c>
      <c r="W49" s="11">
        <f t="shared" si="16"/>
        <v>21.548574719999522</v>
      </c>
      <c r="X49" s="11">
        <f>X47-X48</f>
        <v>0</v>
      </c>
      <c r="Y49" s="11">
        <f>Y47-Y48</f>
        <v>0</v>
      </c>
    </row>
    <row r="50" spans="3:25">
      <c r="C50" s="9" t="s">
        <v>51</v>
      </c>
      <c r="D50" s="9"/>
      <c r="E50" s="9"/>
      <c r="F50" s="9"/>
      <c r="G50" s="9"/>
      <c r="H50" s="9"/>
      <c r="I50" s="9"/>
      <c r="J50" s="9"/>
      <c r="K50" s="9"/>
      <c r="L50" s="9"/>
      <c r="M50" s="9"/>
      <c r="N50" s="9"/>
      <c r="O50" s="9"/>
      <c r="P50" s="9"/>
      <c r="Q50" s="9"/>
      <c r="R50" s="9"/>
      <c r="S50" s="9"/>
      <c r="T50" s="9"/>
      <c r="U50" s="9"/>
      <c r="V50" s="9"/>
      <c r="W50" s="9"/>
      <c r="X50" s="9"/>
      <c r="Y50" s="9"/>
    </row>
    <row r="51" spans="3:25">
      <c r="C51" s="70" t="s">
        <v>213</v>
      </c>
      <c r="D51" s="9"/>
      <c r="E51" s="11">
        <f>E40</f>
        <v>15</v>
      </c>
      <c r="F51" s="11">
        <f>E53</f>
        <v>14.472</v>
      </c>
      <c r="G51" s="11">
        <f t="shared" ref="G51:W51" si="17">F53</f>
        <v>13.68</v>
      </c>
      <c r="H51" s="11">
        <f t="shared" si="17"/>
        <v>12.888</v>
      </c>
      <c r="I51" s="11">
        <f t="shared" si="17"/>
        <v>12.096</v>
      </c>
      <c r="J51" s="11">
        <f t="shared" si="17"/>
        <v>11.304</v>
      </c>
      <c r="K51" s="11">
        <f t="shared" si="17"/>
        <v>10.512</v>
      </c>
      <c r="L51" s="11">
        <f t="shared" si="17"/>
        <v>9.7200000000000006</v>
      </c>
      <c r="M51" s="11">
        <f t="shared" si="17"/>
        <v>8.9280000000000008</v>
      </c>
      <c r="N51" s="11">
        <f t="shared" si="17"/>
        <v>8.136000000000001</v>
      </c>
      <c r="O51" s="11">
        <f t="shared" si="17"/>
        <v>7.3440000000000012</v>
      </c>
      <c r="P51" s="11">
        <f t="shared" si="17"/>
        <v>6.5520000000000014</v>
      </c>
      <c r="Q51" s="11">
        <f t="shared" si="17"/>
        <v>5.7600000000000016</v>
      </c>
      <c r="R51" s="11">
        <f t="shared" si="17"/>
        <v>4.9680000000000017</v>
      </c>
      <c r="S51" s="11">
        <f t="shared" si="17"/>
        <v>4.1760000000000019</v>
      </c>
      <c r="T51" s="11">
        <f t="shared" si="17"/>
        <v>3.3840000000000021</v>
      </c>
      <c r="U51" s="11">
        <f t="shared" si="17"/>
        <v>2.5920000000000023</v>
      </c>
      <c r="V51" s="11">
        <f t="shared" si="17"/>
        <v>1.8000000000000023</v>
      </c>
      <c r="W51" s="11">
        <f t="shared" si="17"/>
        <v>1.0080000000000022</v>
      </c>
      <c r="X51" s="11">
        <f>W53</f>
        <v>0.21600000000000219</v>
      </c>
      <c r="Y51" s="11">
        <f>X53</f>
        <v>0</v>
      </c>
    </row>
    <row r="52" spans="3:25">
      <c r="C52" s="70" t="s">
        <v>27</v>
      </c>
      <c r="D52" s="9"/>
      <c r="E52" s="11">
        <f>IF(E51&gt;$F$40,$F$40,E51)*(8/12)</f>
        <v>0.52800000000000002</v>
      </c>
      <c r="F52" s="11">
        <f>IF(F51&gt;$F$40,$F$40,F51)</f>
        <v>0.79200000000000004</v>
      </c>
      <c r="G52" s="11">
        <f t="shared" ref="G52:W52" si="18">IF(G51&gt;$F$40,$F$40,G51)</f>
        <v>0.79200000000000004</v>
      </c>
      <c r="H52" s="11">
        <f t="shared" si="18"/>
        <v>0.79200000000000004</v>
      </c>
      <c r="I52" s="11">
        <f t="shared" si="18"/>
        <v>0.79200000000000004</v>
      </c>
      <c r="J52" s="11">
        <f t="shared" si="18"/>
        <v>0.79200000000000004</v>
      </c>
      <c r="K52" s="11">
        <f t="shared" si="18"/>
        <v>0.79200000000000004</v>
      </c>
      <c r="L52" s="11">
        <f t="shared" si="18"/>
        <v>0.79200000000000004</v>
      </c>
      <c r="M52" s="11">
        <f t="shared" si="18"/>
        <v>0.79200000000000004</v>
      </c>
      <c r="N52" s="11">
        <f t="shared" si="18"/>
        <v>0.79200000000000004</v>
      </c>
      <c r="O52" s="11">
        <f t="shared" si="18"/>
        <v>0.79200000000000004</v>
      </c>
      <c r="P52" s="11">
        <f t="shared" si="18"/>
        <v>0.79200000000000004</v>
      </c>
      <c r="Q52" s="11">
        <f t="shared" si="18"/>
        <v>0.79200000000000004</v>
      </c>
      <c r="R52" s="11">
        <f t="shared" si="18"/>
        <v>0.79200000000000004</v>
      </c>
      <c r="S52" s="11">
        <f t="shared" si="18"/>
        <v>0.79200000000000004</v>
      </c>
      <c r="T52" s="11">
        <f t="shared" si="18"/>
        <v>0.79200000000000004</v>
      </c>
      <c r="U52" s="11">
        <f t="shared" si="18"/>
        <v>0.79200000000000004</v>
      </c>
      <c r="V52" s="11">
        <f t="shared" si="18"/>
        <v>0.79200000000000004</v>
      </c>
      <c r="W52" s="11">
        <f t="shared" si="18"/>
        <v>0.79200000000000004</v>
      </c>
      <c r="X52" s="11">
        <f>IF(X51&gt;$F$40,$F$40,X51)</f>
        <v>0.21600000000000219</v>
      </c>
      <c r="Y52" s="11">
        <f>IF(Y51&gt;$F$40,$F$40,Y51)*(4/12)</f>
        <v>0</v>
      </c>
    </row>
    <row r="53" spans="3:25">
      <c r="C53" s="70" t="s">
        <v>53</v>
      </c>
      <c r="D53" s="9"/>
      <c r="E53" s="11">
        <f>E51-E52</f>
        <v>14.472</v>
      </c>
      <c r="F53" s="11">
        <f>F51-F52</f>
        <v>13.68</v>
      </c>
      <c r="G53" s="11">
        <f t="shared" ref="G53:W53" si="19">G51-G52</f>
        <v>12.888</v>
      </c>
      <c r="H53" s="11">
        <f t="shared" si="19"/>
        <v>12.096</v>
      </c>
      <c r="I53" s="11">
        <f t="shared" si="19"/>
        <v>11.304</v>
      </c>
      <c r="J53" s="11">
        <f t="shared" si="19"/>
        <v>10.512</v>
      </c>
      <c r="K53" s="11">
        <f t="shared" si="19"/>
        <v>9.7200000000000006</v>
      </c>
      <c r="L53" s="11">
        <f t="shared" si="19"/>
        <v>8.9280000000000008</v>
      </c>
      <c r="M53" s="11">
        <f t="shared" si="19"/>
        <v>8.136000000000001</v>
      </c>
      <c r="N53" s="11">
        <f t="shared" si="19"/>
        <v>7.3440000000000012</v>
      </c>
      <c r="O53" s="11">
        <f t="shared" si="19"/>
        <v>6.5520000000000014</v>
      </c>
      <c r="P53" s="11">
        <f t="shared" si="19"/>
        <v>5.7600000000000016</v>
      </c>
      <c r="Q53" s="11">
        <f t="shared" si="19"/>
        <v>4.9680000000000017</v>
      </c>
      <c r="R53" s="11">
        <f t="shared" si="19"/>
        <v>4.1760000000000019</v>
      </c>
      <c r="S53" s="11">
        <f t="shared" si="19"/>
        <v>3.3840000000000021</v>
      </c>
      <c r="T53" s="11">
        <f t="shared" si="19"/>
        <v>2.5920000000000023</v>
      </c>
      <c r="U53" s="11">
        <f t="shared" si="19"/>
        <v>1.8000000000000023</v>
      </c>
      <c r="V53" s="11">
        <f t="shared" si="19"/>
        <v>1.0080000000000022</v>
      </c>
      <c r="W53" s="11">
        <f t="shared" si="19"/>
        <v>0.21600000000000219</v>
      </c>
      <c r="X53" s="11">
        <f>X51-X52</f>
        <v>0</v>
      </c>
      <c r="Y53" s="11">
        <f>Y51-Y52</f>
        <v>0</v>
      </c>
    </row>
    <row r="54" spans="3:25">
      <c r="C54" s="9" t="s">
        <v>214</v>
      </c>
      <c r="D54" s="9"/>
      <c r="E54" s="11">
        <f>E44+E48+E52</f>
        <v>60.759600426666658</v>
      </c>
      <c r="F54" s="11">
        <f t="shared" ref="F54:W54" si="20">F44+F48+F52</f>
        <v>91.139400639999991</v>
      </c>
      <c r="G54" s="11">
        <f t="shared" si="20"/>
        <v>91.139400639999991</v>
      </c>
      <c r="H54" s="11">
        <f t="shared" si="20"/>
        <v>91.139400639999991</v>
      </c>
      <c r="I54" s="11">
        <f t="shared" si="20"/>
        <v>91.139400639999991</v>
      </c>
      <c r="J54" s="11">
        <f t="shared" si="20"/>
        <v>91.139400639999991</v>
      </c>
      <c r="K54" s="11">
        <f t="shared" si="20"/>
        <v>91.139400639999991</v>
      </c>
      <c r="L54" s="11">
        <f t="shared" si="20"/>
        <v>91.139400639999991</v>
      </c>
      <c r="M54" s="11">
        <f t="shared" si="20"/>
        <v>91.139400639999991</v>
      </c>
      <c r="N54" s="11">
        <f t="shared" si="20"/>
        <v>91.139400639999991</v>
      </c>
      <c r="O54" s="11">
        <f t="shared" si="20"/>
        <v>91.139400639999991</v>
      </c>
      <c r="P54" s="11">
        <f t="shared" si="20"/>
        <v>91.139400639999991</v>
      </c>
      <c r="Q54" s="11">
        <f t="shared" si="20"/>
        <v>91.139400639999991</v>
      </c>
      <c r="R54" s="11">
        <f t="shared" si="20"/>
        <v>91.139400639999991</v>
      </c>
      <c r="S54" s="11">
        <f t="shared" si="20"/>
        <v>91.139400639999991</v>
      </c>
      <c r="T54" s="11">
        <f t="shared" si="20"/>
        <v>91.139400639999991</v>
      </c>
      <c r="U54" s="11">
        <f t="shared" si="20"/>
        <v>91.139400639999991</v>
      </c>
      <c r="V54" s="11">
        <f t="shared" si="20"/>
        <v>91.139400639999991</v>
      </c>
      <c r="W54" s="11">
        <f t="shared" si="20"/>
        <v>91.139400639999991</v>
      </c>
      <c r="X54" s="11">
        <f>X44+X48+X52</f>
        <v>33.100534719999523</v>
      </c>
      <c r="Y54" s="11">
        <f>Y44+Y48+Y52</f>
        <v>3.7786533333333328</v>
      </c>
    </row>
    <row r="55" spans="3:25">
      <c r="C55" s="10" t="s">
        <v>271</v>
      </c>
      <c r="E55" s="22">
        <f>E45+E49+E53</f>
        <v>1790.0691995733332</v>
      </c>
      <c r="F55" s="22">
        <f t="shared" ref="F55:Y55" si="21">F45+F49+F53</f>
        <v>1698.9297989333334</v>
      </c>
      <c r="G55" s="22">
        <f t="shared" si="21"/>
        <v>1607.7903982933331</v>
      </c>
      <c r="H55" s="22">
        <f t="shared" si="21"/>
        <v>1516.6509976533332</v>
      </c>
      <c r="I55" s="22">
        <f t="shared" si="21"/>
        <v>1425.5115970133331</v>
      </c>
      <c r="J55" s="22">
        <f t="shared" si="21"/>
        <v>1334.3721963733331</v>
      </c>
      <c r="K55" s="22">
        <f t="shared" si="21"/>
        <v>1243.232795733333</v>
      </c>
      <c r="L55" s="22">
        <f t="shared" si="21"/>
        <v>1152.0933950933331</v>
      </c>
      <c r="M55" s="22">
        <f t="shared" si="21"/>
        <v>1060.9539944533328</v>
      </c>
      <c r="N55" s="22">
        <f t="shared" si="21"/>
        <v>969.81459381333298</v>
      </c>
      <c r="O55" s="22">
        <f t="shared" si="21"/>
        <v>878.67519317333279</v>
      </c>
      <c r="P55" s="22">
        <f t="shared" si="21"/>
        <v>787.53579253333282</v>
      </c>
      <c r="Q55" s="22">
        <f t="shared" si="21"/>
        <v>696.39639189333275</v>
      </c>
      <c r="R55" s="22">
        <f t="shared" si="21"/>
        <v>605.25699125333279</v>
      </c>
      <c r="S55" s="22">
        <f t="shared" si="21"/>
        <v>514.11759061333282</v>
      </c>
      <c r="T55" s="22">
        <f t="shared" si="21"/>
        <v>422.9781899733328</v>
      </c>
      <c r="U55" s="22">
        <f t="shared" si="21"/>
        <v>331.83878933333284</v>
      </c>
      <c r="V55" s="22">
        <f t="shared" si="21"/>
        <v>240.69938869333285</v>
      </c>
      <c r="W55" s="22">
        <f t="shared" si="21"/>
        <v>149.55998805333286</v>
      </c>
      <c r="X55" s="22">
        <f t="shared" si="21"/>
        <v>116.45945333333333</v>
      </c>
      <c r="Y55" s="22">
        <f t="shared" si="21"/>
        <v>112.68079999999999</v>
      </c>
    </row>
  </sheetData>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6">
    <tabColor rgb="FF92D050"/>
  </sheetPr>
  <dimension ref="B4:W23"/>
  <sheetViews>
    <sheetView showGridLines="0" zoomScale="80" zoomScaleNormal="80" workbookViewId="0">
      <selection activeCell="K27" sqref="K27"/>
    </sheetView>
  </sheetViews>
  <sheetFormatPr defaultRowHeight="13.5"/>
  <cols>
    <col min="1" max="1" width="9.140625" style="4"/>
    <col min="2" max="2" width="31" style="4" bestFit="1" customWidth="1"/>
    <col min="3" max="3" width="7" style="4" bestFit="1" customWidth="1"/>
    <col min="4" max="10" width="8" style="4" bestFit="1" customWidth="1"/>
    <col min="11" max="23" width="9" style="4" bestFit="1" customWidth="1"/>
    <col min="24" max="16384" width="9.140625" style="4"/>
  </cols>
  <sheetData>
    <row r="4" spans="2:23" ht="26.25">
      <c r="B4" s="195" t="s">
        <v>130</v>
      </c>
      <c r="C4" s="196"/>
      <c r="D4" s="196"/>
      <c r="E4" s="196"/>
      <c r="F4" s="196"/>
      <c r="G4" s="196"/>
      <c r="H4" s="196"/>
      <c r="I4" s="197"/>
    </row>
    <row r="5" spans="2:23" ht="15">
      <c r="B5" s="1" t="s">
        <v>131</v>
      </c>
      <c r="C5" s="21" t="s">
        <v>2</v>
      </c>
      <c r="D5" s="21" t="s">
        <v>3</v>
      </c>
      <c r="E5" s="21" t="s">
        <v>4</v>
      </c>
      <c r="F5" s="21" t="s">
        <v>5</v>
      </c>
      <c r="G5" s="21" t="s">
        <v>6</v>
      </c>
      <c r="H5" s="21" t="s">
        <v>7</v>
      </c>
      <c r="I5" s="21" t="s">
        <v>8</v>
      </c>
      <c r="J5" s="21" t="s">
        <v>9</v>
      </c>
      <c r="K5" s="21" t="s">
        <v>10</v>
      </c>
      <c r="L5" s="21" t="s">
        <v>11</v>
      </c>
      <c r="M5" s="21" t="s">
        <v>12</v>
      </c>
      <c r="N5" s="21" t="s">
        <v>13</v>
      </c>
      <c r="O5" s="21" t="s">
        <v>14</v>
      </c>
      <c r="P5" s="21" t="s">
        <v>15</v>
      </c>
      <c r="Q5" s="21" t="s">
        <v>16</v>
      </c>
      <c r="R5" s="21" t="s">
        <v>17</v>
      </c>
      <c r="S5" s="21" t="s">
        <v>18</v>
      </c>
      <c r="T5" s="21" t="s">
        <v>19</v>
      </c>
      <c r="U5" s="21" t="s">
        <v>20</v>
      </c>
      <c r="V5" s="21" t="s">
        <v>21</v>
      </c>
      <c r="W5" s="21" t="s">
        <v>234</v>
      </c>
    </row>
    <row r="6" spans="2:23">
      <c r="B6" s="2" t="s">
        <v>132</v>
      </c>
      <c r="C6" s="2">
        <f>'P&amp;L-CFL'!D41</f>
        <v>-22.863959011420874</v>
      </c>
      <c r="D6" s="2">
        <f>'P&amp;L-CFL'!E41</f>
        <v>333.62314014900971</v>
      </c>
      <c r="E6" s="2">
        <f>'P&amp;L-CFL'!F41</f>
        <v>997.55302516729546</v>
      </c>
      <c r="F6" s="2">
        <f>'P&amp;L-CFL'!G41</f>
        <v>1100.085467403881</v>
      </c>
      <c r="G6" s="2">
        <f>'P&amp;L-CFL'!H41</f>
        <v>1091.8174089843019</v>
      </c>
      <c r="H6" s="2">
        <f>'P&amp;L-CFL'!I41</f>
        <v>1079.6588491772932</v>
      </c>
      <c r="I6" s="2">
        <f>'P&amp;L-CFL'!J41</f>
        <v>1062.9159580773369</v>
      </c>
      <c r="J6" s="2">
        <f>'P&amp;L-CFL'!K41</f>
        <v>1028.7524267068845</v>
      </c>
      <c r="K6" s="2">
        <f>'P&amp;L-CFL'!L41</f>
        <v>982.18713574359811</v>
      </c>
      <c r="L6" s="2">
        <f>'P&amp;L-CFL'!M41</f>
        <v>928.04853933497293</v>
      </c>
      <c r="M6" s="2">
        <f>'P&amp;L-CFL'!N41</f>
        <v>864.93234863450743</v>
      </c>
      <c r="N6" s="2">
        <f>'P&amp;L-CFL'!O41</f>
        <v>791.16127409904823</v>
      </c>
      <c r="O6" s="2">
        <f>'P&amp;L-CFL'!P41</f>
        <v>704.7310520491427</v>
      </c>
      <c r="P6" s="2">
        <f>'P&amp;L-CFL'!Q41</f>
        <v>603.24573126105565</v>
      </c>
      <c r="Q6" s="2">
        <f>'P&amp;L-CFL'!R41</f>
        <v>483.84007667121398</v>
      </c>
      <c r="R6" s="2">
        <f>'P&amp;L-CFL'!S41</f>
        <v>343.08651917758084</v>
      </c>
      <c r="S6" s="2">
        <f>'P&amp;L-CFL'!T41</f>
        <v>176.88356685467883</v>
      </c>
      <c r="T6" s="2">
        <f>'P&amp;L-CFL'!U41</f>
        <v>-19.67802344984274</v>
      </c>
      <c r="U6" s="2">
        <f>'P&amp;L-CFL'!V41</f>
        <v>-252.47575473012677</v>
      </c>
      <c r="V6" s="2">
        <f>'P&amp;L-CFL'!W41</f>
        <v>-470.0737492368313</v>
      </c>
      <c r="W6" s="2">
        <f>'P&amp;L-CFL'!X41</f>
        <v>-1926.8226153056742</v>
      </c>
    </row>
    <row r="7" spans="2:23" ht="15">
      <c r="B7" s="1" t="s">
        <v>133</v>
      </c>
      <c r="C7" s="2"/>
      <c r="D7" s="2"/>
      <c r="E7" s="2"/>
      <c r="F7" s="2"/>
      <c r="G7" s="2"/>
      <c r="H7" s="2"/>
      <c r="I7" s="2"/>
      <c r="J7" s="2"/>
      <c r="K7" s="2"/>
      <c r="L7" s="2"/>
      <c r="M7" s="2"/>
      <c r="N7" s="2"/>
      <c r="O7" s="2"/>
      <c r="P7" s="2"/>
      <c r="Q7" s="2"/>
      <c r="R7" s="2"/>
      <c r="S7" s="2"/>
      <c r="T7" s="2"/>
      <c r="U7" s="2"/>
      <c r="V7" s="2"/>
      <c r="W7" s="2"/>
    </row>
    <row r="8" spans="2:23" s="22" customFormat="1">
      <c r="B8" s="11" t="s">
        <v>50</v>
      </c>
      <c r="C8" s="11">
        <f>'Depreciation-CFL'!E54</f>
        <v>60.759600426666658</v>
      </c>
      <c r="D8" s="11">
        <f>'Depreciation-CFL'!F54</f>
        <v>91.139400639999991</v>
      </c>
      <c r="E8" s="11">
        <f>'Depreciation-CFL'!G54</f>
        <v>91.139400639999991</v>
      </c>
      <c r="F8" s="11">
        <f>'Depreciation-CFL'!H54</f>
        <v>91.139400639999991</v>
      </c>
      <c r="G8" s="11">
        <f>'Depreciation-CFL'!I54</f>
        <v>91.139400639999991</v>
      </c>
      <c r="H8" s="11">
        <f>'Depreciation-CFL'!J54</f>
        <v>91.139400639999991</v>
      </c>
      <c r="I8" s="11">
        <f>'Depreciation-CFL'!K54</f>
        <v>91.139400639999991</v>
      </c>
      <c r="J8" s="11">
        <f>'Depreciation-CFL'!L54</f>
        <v>91.139400639999991</v>
      </c>
      <c r="K8" s="11">
        <f>'Depreciation-CFL'!M54</f>
        <v>91.139400639999991</v>
      </c>
      <c r="L8" s="11">
        <f>'Depreciation-CFL'!N54</f>
        <v>91.139400639999991</v>
      </c>
      <c r="M8" s="11">
        <f>'Depreciation-CFL'!O54</f>
        <v>91.139400639999991</v>
      </c>
      <c r="N8" s="11">
        <f>'Depreciation-CFL'!P54</f>
        <v>91.139400639999991</v>
      </c>
      <c r="O8" s="11">
        <f>'Depreciation-CFL'!Q54</f>
        <v>91.139400639999991</v>
      </c>
      <c r="P8" s="11">
        <f>'Depreciation-CFL'!R54</f>
        <v>91.139400639999991</v>
      </c>
      <c r="Q8" s="11">
        <f>'Depreciation-CFL'!S54</f>
        <v>91.139400639999991</v>
      </c>
      <c r="R8" s="11">
        <f>'Depreciation-CFL'!T54</f>
        <v>91.139400639999991</v>
      </c>
      <c r="S8" s="11">
        <f>'Depreciation-CFL'!U54</f>
        <v>91.139400639999991</v>
      </c>
      <c r="T8" s="11">
        <f>'Depreciation-CFL'!V54</f>
        <v>91.139400639999991</v>
      </c>
      <c r="U8" s="11">
        <f>'Depreciation-CFL'!W54</f>
        <v>91.139400639999991</v>
      </c>
      <c r="V8" s="11">
        <f>'Depreciation-CFL'!X54</f>
        <v>33.100534719999523</v>
      </c>
      <c r="W8" s="11">
        <f>'Depreciation-CFL'!Y54</f>
        <v>3.7786533333333328</v>
      </c>
    </row>
    <row r="9" spans="2:23" ht="15">
      <c r="B9" s="1" t="s">
        <v>30</v>
      </c>
      <c r="C9" s="2"/>
      <c r="D9" s="2"/>
      <c r="E9" s="2"/>
      <c r="F9" s="2"/>
      <c r="G9" s="2"/>
      <c r="H9" s="2"/>
      <c r="I9" s="2"/>
      <c r="J9" s="2"/>
      <c r="K9" s="2"/>
      <c r="L9" s="2"/>
      <c r="M9" s="2"/>
      <c r="N9" s="2"/>
      <c r="O9" s="2"/>
      <c r="P9" s="2"/>
      <c r="Q9" s="2"/>
      <c r="R9" s="2"/>
      <c r="S9" s="2"/>
      <c r="T9" s="2"/>
      <c r="U9" s="2"/>
      <c r="V9" s="2"/>
      <c r="W9" s="2"/>
    </row>
    <row r="10" spans="2:23">
      <c r="B10" s="2" t="s">
        <v>31</v>
      </c>
      <c r="C10" s="2">
        <f>'Depreciation-CFL'!E34</f>
        <v>260.65431999999998</v>
      </c>
      <c r="D10" s="2">
        <f>'Depreciation-CFL'!F34</f>
        <v>223.25317199999995</v>
      </c>
      <c r="E10" s="2">
        <f>'Depreciation-CFL'!G34</f>
        <v>191.29249619999999</v>
      </c>
      <c r="F10" s="2">
        <f>'Depreciation-CFL'!H34</f>
        <v>163.97319177</v>
      </c>
      <c r="G10" s="2">
        <f>'Depreciation-CFL'!I34</f>
        <v>140.61432600450001</v>
      </c>
      <c r="H10" s="2">
        <f>'Depreciation-CFL'!J34</f>
        <v>120.63557880382501</v>
      </c>
      <c r="I10" s="2">
        <f>'Depreciation-CFL'!K34</f>
        <v>103.54230351325124</v>
      </c>
      <c r="J10" s="2">
        <f>'Depreciation-CFL'!L34</f>
        <v>88.912813363263552</v>
      </c>
      <c r="K10" s="2">
        <f>'Depreciation-CFL'!M34</f>
        <v>76.387561198074025</v>
      </c>
      <c r="L10" s="2">
        <f>'Depreciation-CFL'!N34</f>
        <v>65.659929873732935</v>
      </c>
      <c r="M10" s="2">
        <f>'Depreciation-CFL'!O34</f>
        <v>56.468392962505987</v>
      </c>
      <c r="N10" s="2">
        <f>'Depreciation-CFL'!P34</f>
        <v>48.589841330979795</v>
      </c>
      <c r="O10" s="2">
        <f>'Depreciation-CFL'!Q34</f>
        <v>41.83390171289755</v>
      </c>
      <c r="P10" s="2">
        <f>'Depreciation-CFL'!R34</f>
        <v>36.038099379371182</v>
      </c>
      <c r="Q10" s="2">
        <f>'Depreciation-CFL'!S34</f>
        <v>31.063739103532939</v>
      </c>
      <c r="R10" s="2">
        <f>'Depreciation-CFL'!T34</f>
        <v>26.792397405963683</v>
      </c>
      <c r="S10" s="2">
        <f>'Depreciation-CFL'!U34</f>
        <v>23.122935046233749</v>
      </c>
      <c r="T10" s="2">
        <f>'Depreciation-CFL'!V34</f>
        <v>19.968952315346844</v>
      </c>
      <c r="U10" s="2">
        <f>'Depreciation-CFL'!W34</f>
        <v>17.256621241488162</v>
      </c>
      <c r="V10" s="2">
        <f>'Depreciation-CFL'!X34</f>
        <v>14.922838651363945</v>
      </c>
      <c r="W10" s="2">
        <f>'Depreciation-CFL'!Y34</f>
        <v>12.91365239014846</v>
      </c>
    </row>
    <row r="11" spans="2:23">
      <c r="B11" s="2"/>
      <c r="C11" s="2"/>
      <c r="D11" s="2"/>
      <c r="E11" s="2"/>
      <c r="F11" s="2"/>
      <c r="G11" s="2"/>
      <c r="H11" s="2"/>
      <c r="I11" s="2"/>
      <c r="J11" s="2"/>
      <c r="K11" s="2"/>
      <c r="L11" s="2"/>
      <c r="M11" s="2"/>
      <c r="N11" s="2"/>
      <c r="O11" s="2"/>
      <c r="P11" s="2"/>
      <c r="Q11" s="2"/>
      <c r="R11" s="2"/>
      <c r="S11" s="2"/>
      <c r="T11" s="2"/>
      <c r="U11" s="2"/>
      <c r="V11" s="2"/>
      <c r="W11" s="2"/>
    </row>
    <row r="12" spans="2:23">
      <c r="B12" s="2" t="s">
        <v>134</v>
      </c>
      <c r="C12" s="2">
        <f>C6+C8-C10</f>
        <v>-222.75867858475419</v>
      </c>
      <c r="D12" s="2">
        <f t="shared" ref="D12:U12" si="0">D6+D8-D10</f>
        <v>201.50936878900973</v>
      </c>
      <c r="E12" s="2">
        <f t="shared" si="0"/>
        <v>897.39992960729546</v>
      </c>
      <c r="F12" s="2">
        <f t="shared" si="0"/>
        <v>1027.251676273881</v>
      </c>
      <c r="G12" s="2">
        <f t="shared" si="0"/>
        <v>1042.3424836198019</v>
      </c>
      <c r="H12" s="2">
        <f t="shared" si="0"/>
        <v>1050.1626710134683</v>
      </c>
      <c r="I12" s="2">
        <f t="shared" si="0"/>
        <v>1050.5130552040857</v>
      </c>
      <c r="J12" s="2">
        <f t="shared" si="0"/>
        <v>1030.9790139836211</v>
      </c>
      <c r="K12" s="2">
        <f t="shared" si="0"/>
        <v>996.93897518552399</v>
      </c>
      <c r="L12" s="2">
        <f t="shared" si="0"/>
        <v>953.52801010123994</v>
      </c>
      <c r="M12" s="2">
        <f t="shared" si="0"/>
        <v>899.60335631200144</v>
      </c>
      <c r="N12" s="2">
        <f t="shared" si="0"/>
        <v>833.71083340806842</v>
      </c>
      <c r="O12" s="2">
        <f t="shared" si="0"/>
        <v>754.03655097624517</v>
      </c>
      <c r="P12" s="2">
        <f t="shared" si="0"/>
        <v>658.34703252168447</v>
      </c>
      <c r="Q12" s="2">
        <f t="shared" si="0"/>
        <v>543.91573820768099</v>
      </c>
      <c r="R12" s="2">
        <f t="shared" si="0"/>
        <v>407.4335224116171</v>
      </c>
      <c r="S12" s="2">
        <f t="shared" si="0"/>
        <v>244.90003244844507</v>
      </c>
      <c r="T12" s="2">
        <f t="shared" si="0"/>
        <v>51.492424874810411</v>
      </c>
      <c r="U12" s="2">
        <f t="shared" si="0"/>
        <v>-178.59297533161492</v>
      </c>
      <c r="V12" s="2">
        <f>V6+V8-V10</f>
        <v>-451.89605316819569</v>
      </c>
      <c r="W12" s="2">
        <f>W6+W8-W10</f>
        <v>-1935.9576143624893</v>
      </c>
    </row>
    <row r="13" spans="2:23" s="22" customFormat="1">
      <c r="B13" s="11" t="s">
        <v>139</v>
      </c>
      <c r="C13" s="11">
        <f>C12</f>
        <v>-222.75867858475419</v>
      </c>
      <c r="D13" s="11">
        <f>C13+D12</f>
        <v>-21.249309795744466</v>
      </c>
      <c r="E13" s="11">
        <f t="shared" ref="E13:W13" si="1">D13+E12</f>
        <v>876.150619811551</v>
      </c>
      <c r="F13" s="11">
        <f t="shared" si="1"/>
        <v>1903.402296085432</v>
      </c>
      <c r="G13" s="11">
        <f t="shared" si="1"/>
        <v>2945.7447797052337</v>
      </c>
      <c r="H13" s="11">
        <f t="shared" si="1"/>
        <v>3995.907450718702</v>
      </c>
      <c r="I13" s="11">
        <f t="shared" si="1"/>
        <v>5046.4205059227879</v>
      </c>
      <c r="J13" s="11">
        <f t="shared" si="1"/>
        <v>6077.3995199064093</v>
      </c>
      <c r="K13" s="11">
        <f t="shared" si="1"/>
        <v>7074.3384950919335</v>
      </c>
      <c r="L13" s="11">
        <f t="shared" si="1"/>
        <v>8027.866505193173</v>
      </c>
      <c r="M13" s="11">
        <f t="shared" si="1"/>
        <v>8927.4698615051748</v>
      </c>
      <c r="N13" s="11">
        <f t="shared" si="1"/>
        <v>9761.1806949132424</v>
      </c>
      <c r="O13" s="11">
        <f t="shared" si="1"/>
        <v>10515.217245889487</v>
      </c>
      <c r="P13" s="11">
        <f t="shared" si="1"/>
        <v>11173.564278411171</v>
      </c>
      <c r="Q13" s="11">
        <f t="shared" si="1"/>
        <v>11717.480016618852</v>
      </c>
      <c r="R13" s="11">
        <f t="shared" si="1"/>
        <v>12124.913539030469</v>
      </c>
      <c r="S13" s="11">
        <f t="shared" si="1"/>
        <v>12369.813571478915</v>
      </c>
      <c r="T13" s="11">
        <f t="shared" si="1"/>
        <v>12421.305996353725</v>
      </c>
      <c r="U13" s="11">
        <f t="shared" si="1"/>
        <v>12242.713021022111</v>
      </c>
      <c r="V13" s="11">
        <f t="shared" si="1"/>
        <v>11790.816967853916</v>
      </c>
      <c r="W13" s="11">
        <f t="shared" si="1"/>
        <v>9854.8593534914271</v>
      </c>
    </row>
    <row r="14" spans="2:23">
      <c r="B14" s="2"/>
      <c r="C14" s="2"/>
      <c r="D14" s="2"/>
      <c r="E14" s="2"/>
      <c r="F14" s="2"/>
      <c r="G14" s="2"/>
      <c r="H14" s="2"/>
      <c r="I14" s="2"/>
      <c r="J14" s="2"/>
      <c r="K14" s="2"/>
      <c r="L14" s="2"/>
      <c r="M14" s="2"/>
      <c r="N14" s="2"/>
      <c r="O14" s="2"/>
      <c r="P14" s="2"/>
      <c r="Q14" s="2"/>
      <c r="R14" s="2"/>
      <c r="S14" s="2"/>
      <c r="T14" s="2"/>
      <c r="U14" s="2"/>
      <c r="V14" s="2"/>
      <c r="W14" s="2"/>
    </row>
    <row r="15" spans="2:23">
      <c r="B15" s="2" t="s">
        <v>135</v>
      </c>
      <c r="C15" s="2">
        <f>IF(C13&lt;0,0,'Assum-CFL'!$C$64*C12)</f>
        <v>0</v>
      </c>
      <c r="D15" s="2">
        <f>IF(D13&lt;0,0,'Assum-CFL'!$C$64*D12)</f>
        <v>0</v>
      </c>
      <c r="E15" s="2">
        <f>IF(E13&lt;0,0,'Assum-CFL'!$C$64*E12)</f>
        <v>305.02623607351973</v>
      </c>
      <c r="F15" s="2">
        <f>IF(F13&lt;0,0,'Assum-CFL'!$C$64*F12)</f>
        <v>349.16284476549214</v>
      </c>
      <c r="G15" s="2">
        <f>IF(G13&lt;0,0,'Assum-CFL'!$C$64*G12)</f>
        <v>354.29221018237064</v>
      </c>
      <c r="H15" s="2">
        <f>IF(H13&lt;0,0,'Assum-CFL'!$C$64*H12)</f>
        <v>356.95029187747787</v>
      </c>
      <c r="I15" s="2">
        <f>IF(I13&lt;0,0,'Assum-CFL'!$C$64*I12)</f>
        <v>357.06938746386874</v>
      </c>
      <c r="J15" s="2">
        <f>IF(J13&lt;0,0,'Assum-CFL'!$C$64*J12)</f>
        <v>350.42976685303279</v>
      </c>
      <c r="K15" s="2">
        <f>IF(K13&lt;0,0,'Assum-CFL'!$C$64*K12)</f>
        <v>338.85955766555958</v>
      </c>
      <c r="L15" s="2">
        <f>IF(L13&lt;0,0,'Assum-CFL'!$C$64*L12)</f>
        <v>324.10417063341146</v>
      </c>
      <c r="M15" s="2">
        <f>IF(M13&lt;0,0,'Assum-CFL'!$C$64*M12)</f>
        <v>305.77518081044929</v>
      </c>
      <c r="N15" s="2">
        <f>IF(N13&lt;0,0,'Assum-CFL'!$C$64*N12)</f>
        <v>283.37831227540244</v>
      </c>
      <c r="O15" s="2">
        <f>IF(O13&lt;0,0,'Assum-CFL'!$C$64*O12)</f>
        <v>256.29702367682575</v>
      </c>
      <c r="P15" s="2">
        <f>IF(P13&lt;0,0,'Assum-CFL'!$C$64*P12)</f>
        <v>223.77215635412054</v>
      </c>
      <c r="Q15" s="2">
        <f>IF(Q13&lt;0,0,'Assum-CFL'!$C$64*Q12)</f>
        <v>184.87695941679075</v>
      </c>
      <c r="R15" s="2">
        <f>IF(R13&lt;0,0,'Assum-CFL'!$C$64*R12)</f>
        <v>138.48665426770864</v>
      </c>
      <c r="S15" s="2">
        <f>IF(S13&lt;0,0,'Assum-CFL'!$C$64*S12)</f>
        <v>83.241521029226476</v>
      </c>
      <c r="T15" s="2">
        <f>IF(T13&lt;0,0,'Assum-CFL'!$C$64*T12)</f>
        <v>17.502275214948057</v>
      </c>
      <c r="U15" s="2">
        <f>IF(U13&lt;0,0,'Assum-CFL'!$C$64*U12)</f>
        <v>-60.703752315215908</v>
      </c>
      <c r="V15" s="2">
        <f>IF(V13&lt;0,0,'Assum-CFL'!$C$64*V12)</f>
        <v>-153.5994684718697</v>
      </c>
      <c r="W15" s="2">
        <f>IF(W13&lt;0,0,'Assum-CFL'!$C$64*W12)</f>
        <v>-658.03199312181005</v>
      </c>
    </row>
    <row r="16" spans="2:23">
      <c r="B16" s="2" t="s">
        <v>136</v>
      </c>
      <c r="C16" s="2">
        <f>IF(C6&lt;0,0,'Assum-CFL'!$C$65*C6)</f>
        <v>0</v>
      </c>
      <c r="D16" s="2">
        <f>IF(D6&lt;0,0,'Assum-CFL'!$C$65*D6)</f>
        <v>37.799501778882799</v>
      </c>
      <c r="E16" s="2">
        <f>IF(E6&lt;0,0,'Assum-CFL'!$C$65*E6)</f>
        <v>113.02275775145458</v>
      </c>
      <c r="F16" s="2">
        <f>IF(F6&lt;0,0,'Assum-CFL'!$C$65*F6)</f>
        <v>124.63968345685971</v>
      </c>
      <c r="G16" s="2">
        <f>IF(G6&lt;0,0,'Assum-CFL'!$C$65*G6)</f>
        <v>123.7029124379214</v>
      </c>
      <c r="H16" s="2">
        <f>IF(H6&lt;0,0,'Assum-CFL'!$C$65*H6)</f>
        <v>122.32534761178731</v>
      </c>
      <c r="I16" s="2">
        <f>IF(I6&lt;0,0,'Assum-CFL'!$C$65*I6)</f>
        <v>120.42837805016227</v>
      </c>
      <c r="J16" s="2">
        <f>IF(J6&lt;0,0,'Assum-CFL'!$C$65*J6)</f>
        <v>116.55764994589002</v>
      </c>
      <c r="K16" s="2">
        <f>IF(K6&lt;0,0,'Assum-CFL'!$C$65*K6)</f>
        <v>111.28180247974966</v>
      </c>
      <c r="L16" s="2">
        <f>IF(L6&lt;0,0,'Assum-CFL'!$C$65*L6)</f>
        <v>105.14789950665244</v>
      </c>
      <c r="M16" s="2">
        <f>IF(M6&lt;0,0,'Assum-CFL'!$C$65*M6)</f>
        <v>97.996835100289687</v>
      </c>
      <c r="N16" s="2">
        <f>IF(N6&lt;0,0,'Assum-CFL'!$C$65*N6)</f>
        <v>89.638572355422156</v>
      </c>
      <c r="O16" s="2">
        <f>IF(O6&lt;0,0,'Assum-CFL'!$C$65*O6)</f>
        <v>79.846028197167868</v>
      </c>
      <c r="P16" s="2">
        <f>IF(P6&lt;0,0,'Assum-CFL'!$C$65*P6)</f>
        <v>68.347741351877602</v>
      </c>
      <c r="Q16" s="2">
        <f>IF(Q6&lt;0,0,'Assum-CFL'!$C$65*Q6)</f>
        <v>54.819080686848544</v>
      </c>
      <c r="R16" s="2">
        <f>IF(R6&lt;0,0,'Assum-CFL'!$C$65*R6)</f>
        <v>38.87170262281991</v>
      </c>
      <c r="S16" s="2">
        <f>IF(S6&lt;0,0,'Assum-CFL'!$C$65*S6)</f>
        <v>20.040908124635113</v>
      </c>
      <c r="T16" s="2">
        <f>IF(T6&lt;0,0,'Assum-CFL'!$C$65*T6)</f>
        <v>0</v>
      </c>
      <c r="U16" s="2">
        <f>IF(U6&lt;0,0,'Assum-CFL'!$C$65*U6)</f>
        <v>0</v>
      </c>
      <c r="V16" s="2">
        <f>IF(V6&lt;0,0,'Assum-CFL'!$C$65*V6)</f>
        <v>0</v>
      </c>
      <c r="W16" s="2">
        <f>IF(W6&lt;0,0,'Assum-CFL'!$C$65*W6)</f>
        <v>0</v>
      </c>
    </row>
    <row r="17" spans="2:23">
      <c r="B17" s="2"/>
      <c r="C17" s="2"/>
      <c r="D17" s="2"/>
      <c r="E17" s="2"/>
      <c r="F17" s="2"/>
      <c r="G17" s="2"/>
      <c r="H17" s="2"/>
      <c r="I17" s="2"/>
      <c r="J17" s="2"/>
      <c r="K17" s="2"/>
      <c r="L17" s="2"/>
      <c r="M17" s="2"/>
      <c r="N17" s="2"/>
      <c r="O17" s="2"/>
      <c r="P17" s="2"/>
      <c r="Q17" s="2"/>
      <c r="R17" s="2"/>
      <c r="S17" s="2"/>
      <c r="T17" s="2"/>
      <c r="U17" s="2"/>
      <c r="V17" s="2"/>
      <c r="W17" s="2"/>
    </row>
    <row r="18" spans="2:23">
      <c r="B18" s="23" t="s">
        <v>137</v>
      </c>
      <c r="C18" s="2">
        <f>+IF(C15&gt;C16,C15,C16)</f>
        <v>0</v>
      </c>
      <c r="D18" s="2">
        <f t="shared" ref="D18:U18" si="2">+IF(D15&gt;D16,D15,D16)</f>
        <v>37.799501778882799</v>
      </c>
      <c r="E18" s="2">
        <f t="shared" si="2"/>
        <v>305.02623607351973</v>
      </c>
      <c r="F18" s="2">
        <f t="shared" si="2"/>
        <v>349.16284476549214</v>
      </c>
      <c r="G18" s="2">
        <f t="shared" si="2"/>
        <v>354.29221018237064</v>
      </c>
      <c r="H18" s="2">
        <f t="shared" si="2"/>
        <v>356.95029187747787</v>
      </c>
      <c r="I18" s="2">
        <f t="shared" si="2"/>
        <v>357.06938746386874</v>
      </c>
      <c r="J18" s="2">
        <f t="shared" si="2"/>
        <v>350.42976685303279</v>
      </c>
      <c r="K18" s="2">
        <f t="shared" si="2"/>
        <v>338.85955766555958</v>
      </c>
      <c r="L18" s="2">
        <f t="shared" si="2"/>
        <v>324.10417063341146</v>
      </c>
      <c r="M18" s="2">
        <f t="shared" si="2"/>
        <v>305.77518081044929</v>
      </c>
      <c r="N18" s="2">
        <f t="shared" si="2"/>
        <v>283.37831227540244</v>
      </c>
      <c r="O18" s="2">
        <f t="shared" si="2"/>
        <v>256.29702367682575</v>
      </c>
      <c r="P18" s="2">
        <f t="shared" si="2"/>
        <v>223.77215635412054</v>
      </c>
      <c r="Q18" s="2">
        <f t="shared" si="2"/>
        <v>184.87695941679075</v>
      </c>
      <c r="R18" s="2">
        <f t="shared" si="2"/>
        <v>138.48665426770864</v>
      </c>
      <c r="S18" s="2">
        <f t="shared" si="2"/>
        <v>83.241521029226476</v>
      </c>
      <c r="T18" s="2">
        <f t="shared" si="2"/>
        <v>17.502275214948057</v>
      </c>
      <c r="U18" s="2">
        <f t="shared" si="2"/>
        <v>0</v>
      </c>
      <c r="V18" s="2">
        <f>+IF(V15&gt;V16,V15,V16)</f>
        <v>0</v>
      </c>
      <c r="W18" s="2">
        <f>+IF(W15&gt;W16,W15,W16)</f>
        <v>0</v>
      </c>
    </row>
    <row r="19" spans="2:23">
      <c r="B19" s="2" t="s">
        <v>138</v>
      </c>
      <c r="C19" s="2">
        <f>+IF(C18&lt;0,0,C18)</f>
        <v>0</v>
      </c>
      <c r="D19" s="2">
        <f t="shared" ref="D19:U19" si="3">+IF(D18&lt;0,0,D18)</f>
        <v>37.799501778882799</v>
      </c>
      <c r="E19" s="2">
        <f t="shared" si="3"/>
        <v>305.02623607351973</v>
      </c>
      <c r="F19" s="2">
        <f t="shared" si="3"/>
        <v>349.16284476549214</v>
      </c>
      <c r="G19" s="2">
        <f t="shared" si="3"/>
        <v>354.29221018237064</v>
      </c>
      <c r="H19" s="2">
        <f t="shared" si="3"/>
        <v>356.95029187747787</v>
      </c>
      <c r="I19" s="2">
        <f t="shared" si="3"/>
        <v>357.06938746386874</v>
      </c>
      <c r="J19" s="2">
        <f t="shared" si="3"/>
        <v>350.42976685303279</v>
      </c>
      <c r="K19" s="2">
        <f t="shared" si="3"/>
        <v>338.85955766555958</v>
      </c>
      <c r="L19" s="2">
        <f t="shared" si="3"/>
        <v>324.10417063341146</v>
      </c>
      <c r="M19" s="2">
        <f t="shared" si="3"/>
        <v>305.77518081044929</v>
      </c>
      <c r="N19" s="2">
        <f t="shared" si="3"/>
        <v>283.37831227540244</v>
      </c>
      <c r="O19" s="2">
        <f t="shared" si="3"/>
        <v>256.29702367682575</v>
      </c>
      <c r="P19" s="2">
        <f t="shared" si="3"/>
        <v>223.77215635412054</v>
      </c>
      <c r="Q19" s="2">
        <f t="shared" si="3"/>
        <v>184.87695941679075</v>
      </c>
      <c r="R19" s="2">
        <f t="shared" si="3"/>
        <v>138.48665426770864</v>
      </c>
      <c r="S19" s="2">
        <f t="shared" si="3"/>
        <v>83.241521029226476</v>
      </c>
      <c r="T19" s="2">
        <f t="shared" si="3"/>
        <v>17.502275214948057</v>
      </c>
      <c r="U19" s="2">
        <f t="shared" si="3"/>
        <v>0</v>
      </c>
      <c r="V19" s="2">
        <f>+IF(V18&lt;0,0,V18)</f>
        <v>0</v>
      </c>
      <c r="W19" s="2">
        <f>+IF(W18&lt;0,0,W18)</f>
        <v>0</v>
      </c>
    </row>
    <row r="23" spans="2:23" ht="15">
      <c r="B23" s="5"/>
    </row>
  </sheetData>
  <mergeCells count="1">
    <mergeCell ref="B4:I4"/>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5">
    <tabColor rgb="FF92D050"/>
    <pageSetUpPr fitToPage="1"/>
  </sheetPr>
  <dimension ref="A3:X51"/>
  <sheetViews>
    <sheetView showGridLines="0" topLeftCell="C1" zoomScale="60" zoomScaleNormal="60" workbookViewId="0">
      <selection activeCell="C46" sqref="C46"/>
    </sheetView>
  </sheetViews>
  <sheetFormatPr defaultRowHeight="13.5"/>
  <cols>
    <col min="1" max="1" width="45.28515625" style="27" bestFit="1" customWidth="1"/>
    <col min="2" max="2" width="11" style="27" bestFit="1" customWidth="1"/>
    <col min="3" max="3" width="9.42578125" style="27" bestFit="1" customWidth="1"/>
    <col min="4" max="4" width="10.85546875" style="27" bestFit="1" customWidth="1"/>
    <col min="5" max="5" width="10.42578125" style="27" customWidth="1"/>
    <col min="6" max="6" width="10.85546875" style="27" bestFit="1" customWidth="1"/>
    <col min="7" max="8" width="11.5703125" style="27" bestFit="1" customWidth="1"/>
    <col min="9" max="9" width="17.85546875" style="27" bestFit="1" customWidth="1"/>
    <col min="10" max="10" width="11.5703125" style="27" bestFit="1" customWidth="1"/>
    <col min="11" max="11" width="16.140625" style="27" customWidth="1"/>
    <col min="12" max="23" width="11.5703125" style="27" bestFit="1" customWidth="1"/>
    <col min="24" max="24" width="10.85546875" style="27" bestFit="1" customWidth="1"/>
    <col min="25" max="16384" width="9.140625" style="27"/>
  </cols>
  <sheetData>
    <row r="3" spans="1:24" ht="26.25">
      <c r="A3" s="132" t="s">
        <v>293</v>
      </c>
    </row>
    <row r="5" spans="1:24">
      <c r="E5" s="9" t="s">
        <v>266</v>
      </c>
      <c r="F5" s="9"/>
      <c r="G5" s="9"/>
      <c r="H5" s="125">
        <f>1-'Assum-CFL'!$C$23</f>
        <v>1</v>
      </c>
    </row>
    <row r="6" spans="1:24">
      <c r="A6" s="126" t="s">
        <v>106</v>
      </c>
      <c r="C6" s="28"/>
      <c r="E6" s="9" t="s">
        <v>142</v>
      </c>
      <c r="F6" s="9"/>
      <c r="G6" s="9"/>
      <c r="H6" s="64">
        <f>'Assum-CFL'!C27</f>
        <v>1</v>
      </c>
    </row>
    <row r="7" spans="1:24">
      <c r="A7" s="50"/>
      <c r="E7" s="9" t="s">
        <v>141</v>
      </c>
      <c r="F7" s="9"/>
      <c r="G7" s="9"/>
      <c r="H7" s="64">
        <f>'Assum-CFL'!C28</f>
        <v>0</v>
      </c>
    </row>
    <row r="8" spans="1:24" ht="15">
      <c r="E8" s="127" t="s">
        <v>112</v>
      </c>
      <c r="F8" s="127"/>
      <c r="G8" s="127"/>
      <c r="H8" s="127">
        <f>('Assum-CFL'!$C$16*'Assum-CFL'!$C$17*'Assum-CFL'!$C$18/10^5)</f>
        <v>144</v>
      </c>
      <c r="I8" s="27" t="s">
        <v>107</v>
      </c>
      <c r="K8" s="48" t="s">
        <v>147</v>
      </c>
    </row>
    <row r="9" spans="1:24">
      <c r="A9" s="128" t="s">
        <v>22</v>
      </c>
      <c r="B9" s="9"/>
      <c r="C9" s="9"/>
      <c r="D9" s="81" t="s">
        <v>2</v>
      </c>
      <c r="E9" s="70" t="s">
        <v>3</v>
      </c>
      <c r="F9" s="70" t="s">
        <v>4</v>
      </c>
      <c r="G9" s="70" t="s">
        <v>5</v>
      </c>
      <c r="H9" s="70" t="s">
        <v>6</v>
      </c>
      <c r="I9" s="70" t="s">
        <v>7</v>
      </c>
      <c r="J9" s="70" t="s">
        <v>8</v>
      </c>
      <c r="K9" s="70" t="s">
        <v>9</v>
      </c>
      <c r="L9" s="70" t="s">
        <v>10</v>
      </c>
      <c r="M9" s="70" t="s">
        <v>11</v>
      </c>
      <c r="N9" s="70" t="s">
        <v>12</v>
      </c>
      <c r="O9" s="70" t="s">
        <v>13</v>
      </c>
      <c r="P9" s="70" t="s">
        <v>14</v>
      </c>
      <c r="Q9" s="70" t="s">
        <v>15</v>
      </c>
      <c r="R9" s="70" t="s">
        <v>16</v>
      </c>
      <c r="S9" s="70" t="s">
        <v>17</v>
      </c>
      <c r="T9" s="70" t="s">
        <v>18</v>
      </c>
      <c r="U9" s="70" t="s">
        <v>19</v>
      </c>
      <c r="V9" s="70" t="s">
        <v>20</v>
      </c>
      <c r="W9" s="70" t="s">
        <v>21</v>
      </c>
      <c r="X9" s="81" t="s">
        <v>234</v>
      </c>
    </row>
    <row r="10" spans="1:24">
      <c r="A10" s="35" t="s">
        <v>148</v>
      </c>
      <c r="B10" s="35"/>
      <c r="C10" s="35"/>
      <c r="D10" s="125">
        <f>50%*(1+'Sensitivity Analysis'!D8)</f>
        <v>0.5</v>
      </c>
      <c r="E10" s="125">
        <f>60%*(1+'Sensitivity Analysis'!D8)</f>
        <v>0.6</v>
      </c>
      <c r="F10" s="125">
        <f>65%*(1+'Sensitivity Analysis'!D8)</f>
        <v>0.65</v>
      </c>
      <c r="G10" s="64">
        <f>70%*(1+'Sensitivity Analysis'!D8)</f>
        <v>0.7</v>
      </c>
      <c r="H10" s="64">
        <f>G10</f>
        <v>0.7</v>
      </c>
      <c r="I10" s="64">
        <f t="shared" ref="I10:X10" si="0">H10</f>
        <v>0.7</v>
      </c>
      <c r="J10" s="64">
        <f t="shared" si="0"/>
        <v>0.7</v>
      </c>
      <c r="K10" s="64">
        <f t="shared" si="0"/>
        <v>0.7</v>
      </c>
      <c r="L10" s="64">
        <f t="shared" si="0"/>
        <v>0.7</v>
      </c>
      <c r="M10" s="64">
        <f t="shared" si="0"/>
        <v>0.7</v>
      </c>
      <c r="N10" s="64">
        <f t="shared" si="0"/>
        <v>0.7</v>
      </c>
      <c r="O10" s="64">
        <f t="shared" si="0"/>
        <v>0.7</v>
      </c>
      <c r="P10" s="64">
        <f t="shared" si="0"/>
        <v>0.7</v>
      </c>
      <c r="Q10" s="64">
        <f t="shared" si="0"/>
        <v>0.7</v>
      </c>
      <c r="R10" s="64">
        <f t="shared" si="0"/>
        <v>0.7</v>
      </c>
      <c r="S10" s="64">
        <f t="shared" si="0"/>
        <v>0.7</v>
      </c>
      <c r="T10" s="64">
        <f t="shared" si="0"/>
        <v>0.7</v>
      </c>
      <c r="U10" s="64">
        <f t="shared" si="0"/>
        <v>0.7</v>
      </c>
      <c r="V10" s="64">
        <f t="shared" si="0"/>
        <v>0.7</v>
      </c>
      <c r="W10" s="64">
        <f t="shared" si="0"/>
        <v>0.7</v>
      </c>
      <c r="X10" s="64">
        <f t="shared" si="0"/>
        <v>0.7</v>
      </c>
    </row>
    <row r="11" spans="1:24">
      <c r="A11" s="35" t="s">
        <v>34</v>
      </c>
      <c r="B11" s="35"/>
      <c r="C11" s="35"/>
      <c r="D11" s="9">
        <f>($H$8/2)*100000*D10*(8/12)*$H$6</f>
        <v>2400000</v>
      </c>
      <c r="E11" s="129">
        <f>(+$H$8*5/8)*E10*10^5*$H$6</f>
        <v>5400000</v>
      </c>
      <c r="F11" s="129">
        <f>+$H$8*F10*10^5*$H$6</f>
        <v>9360000</v>
      </c>
      <c r="G11" s="129">
        <f t="shared" ref="G11:W11" si="1">+$H$8*G10*10^5*$H$6</f>
        <v>10080000</v>
      </c>
      <c r="H11" s="129">
        <f t="shared" si="1"/>
        <v>10080000</v>
      </c>
      <c r="I11" s="129">
        <f t="shared" si="1"/>
        <v>10080000</v>
      </c>
      <c r="J11" s="129">
        <f t="shared" si="1"/>
        <v>10080000</v>
      </c>
      <c r="K11" s="129">
        <f t="shared" si="1"/>
        <v>10080000</v>
      </c>
      <c r="L11" s="129">
        <f t="shared" si="1"/>
        <v>10080000</v>
      </c>
      <c r="M11" s="129">
        <f t="shared" si="1"/>
        <v>10080000</v>
      </c>
      <c r="N11" s="129">
        <f t="shared" si="1"/>
        <v>10080000</v>
      </c>
      <c r="O11" s="129">
        <f t="shared" si="1"/>
        <v>10080000</v>
      </c>
      <c r="P11" s="129">
        <f t="shared" si="1"/>
        <v>10080000</v>
      </c>
      <c r="Q11" s="129">
        <f t="shared" si="1"/>
        <v>10080000</v>
      </c>
      <c r="R11" s="129">
        <f t="shared" si="1"/>
        <v>10080000</v>
      </c>
      <c r="S11" s="129">
        <f t="shared" si="1"/>
        <v>10080000</v>
      </c>
      <c r="T11" s="129">
        <f t="shared" si="1"/>
        <v>10080000</v>
      </c>
      <c r="U11" s="129">
        <f t="shared" si="1"/>
        <v>10080000</v>
      </c>
      <c r="V11" s="129">
        <f t="shared" si="1"/>
        <v>10080000</v>
      </c>
      <c r="W11" s="129">
        <f t="shared" si="1"/>
        <v>10080000</v>
      </c>
      <c r="X11" s="129">
        <f>+$H$8*X10*10^5*$H$6*(4/12)</f>
        <v>3360000</v>
      </c>
    </row>
    <row r="12" spans="1:24">
      <c r="A12" s="35" t="s">
        <v>47</v>
      </c>
      <c r="B12" s="35"/>
      <c r="C12" s="35"/>
      <c r="D12" s="129">
        <f>($H$8/2)*100000*D10*(8/12)*$H$7</f>
        <v>0</v>
      </c>
      <c r="E12" s="129">
        <f>(+$H$8*5/8)*E10*10^5*$H$7</f>
        <v>0</v>
      </c>
      <c r="F12" s="129">
        <f>+$H$8*F10*10^5*$H$7</f>
        <v>0</v>
      </c>
      <c r="G12" s="129">
        <f t="shared" ref="G12:W12" si="2">+$H$8*G10*10^5*$H$7</f>
        <v>0</v>
      </c>
      <c r="H12" s="129">
        <f t="shared" si="2"/>
        <v>0</v>
      </c>
      <c r="I12" s="129">
        <f t="shared" si="2"/>
        <v>0</v>
      </c>
      <c r="J12" s="129">
        <f t="shared" si="2"/>
        <v>0</v>
      </c>
      <c r="K12" s="129">
        <f t="shared" si="2"/>
        <v>0</v>
      </c>
      <c r="L12" s="129">
        <f t="shared" si="2"/>
        <v>0</v>
      </c>
      <c r="M12" s="129">
        <f t="shared" si="2"/>
        <v>0</v>
      </c>
      <c r="N12" s="129">
        <f t="shared" si="2"/>
        <v>0</v>
      </c>
      <c r="O12" s="129">
        <f t="shared" si="2"/>
        <v>0</v>
      </c>
      <c r="P12" s="129">
        <f t="shared" si="2"/>
        <v>0</v>
      </c>
      <c r="Q12" s="129">
        <f t="shared" si="2"/>
        <v>0</v>
      </c>
      <c r="R12" s="129">
        <f t="shared" si="2"/>
        <v>0</v>
      </c>
      <c r="S12" s="129">
        <f t="shared" si="2"/>
        <v>0</v>
      </c>
      <c r="T12" s="129">
        <f t="shared" si="2"/>
        <v>0</v>
      </c>
      <c r="U12" s="129">
        <f t="shared" si="2"/>
        <v>0</v>
      </c>
      <c r="V12" s="129">
        <f t="shared" si="2"/>
        <v>0</v>
      </c>
      <c r="W12" s="129">
        <f t="shared" si="2"/>
        <v>0</v>
      </c>
      <c r="X12" s="129">
        <f>+$H$8*X10*10^5*$H$7*(4/12)</f>
        <v>0</v>
      </c>
    </row>
    <row r="13" spans="1:24">
      <c r="A13" s="35" t="s">
        <v>48</v>
      </c>
      <c r="B13" s="35"/>
      <c r="C13" s="35"/>
      <c r="D13" s="35">
        <f>'Assum-CFL'!C25</f>
        <v>30</v>
      </c>
      <c r="E13" s="35">
        <f>+D13</f>
        <v>30</v>
      </c>
      <c r="F13" s="35">
        <f>+E13</f>
        <v>30</v>
      </c>
      <c r="G13" s="35">
        <f>F13</f>
        <v>30</v>
      </c>
      <c r="H13" s="35">
        <f t="shared" ref="H13:M13" si="3">+G13</f>
        <v>30</v>
      </c>
      <c r="I13" s="35">
        <f t="shared" si="3"/>
        <v>30</v>
      </c>
      <c r="J13" s="35">
        <f t="shared" si="3"/>
        <v>30</v>
      </c>
      <c r="K13" s="35">
        <f t="shared" si="3"/>
        <v>30</v>
      </c>
      <c r="L13" s="35">
        <f t="shared" si="3"/>
        <v>30</v>
      </c>
      <c r="M13" s="35">
        <f t="shared" si="3"/>
        <v>30</v>
      </c>
      <c r="N13" s="35">
        <f t="shared" ref="N13:X13" si="4">+M13</f>
        <v>30</v>
      </c>
      <c r="O13" s="35">
        <f t="shared" si="4"/>
        <v>30</v>
      </c>
      <c r="P13" s="35">
        <f t="shared" si="4"/>
        <v>30</v>
      </c>
      <c r="Q13" s="35">
        <f t="shared" si="4"/>
        <v>30</v>
      </c>
      <c r="R13" s="35">
        <f t="shared" si="4"/>
        <v>30</v>
      </c>
      <c r="S13" s="35">
        <f t="shared" si="4"/>
        <v>30</v>
      </c>
      <c r="T13" s="35">
        <f t="shared" si="4"/>
        <v>30</v>
      </c>
      <c r="U13" s="35">
        <f t="shared" si="4"/>
        <v>30</v>
      </c>
      <c r="V13" s="35">
        <f t="shared" si="4"/>
        <v>30</v>
      </c>
      <c r="W13" s="35">
        <f t="shared" si="4"/>
        <v>30</v>
      </c>
      <c r="X13" s="35">
        <f t="shared" si="4"/>
        <v>30</v>
      </c>
    </row>
    <row r="14" spans="1:24">
      <c r="A14" s="35" t="s">
        <v>49</v>
      </c>
      <c r="B14" s="35"/>
      <c r="C14" s="35"/>
      <c r="D14" s="35">
        <f>'Assum-CFL'!C26</f>
        <v>0</v>
      </c>
      <c r="E14" s="35">
        <f>+D14</f>
        <v>0</v>
      </c>
      <c r="F14" s="35">
        <f t="shared" ref="F14:M14" si="5">+E14</f>
        <v>0</v>
      </c>
      <c r="G14" s="35">
        <f t="shared" si="5"/>
        <v>0</v>
      </c>
      <c r="H14" s="35">
        <f t="shared" si="5"/>
        <v>0</v>
      </c>
      <c r="I14" s="35">
        <f t="shared" si="5"/>
        <v>0</v>
      </c>
      <c r="J14" s="35">
        <f t="shared" si="5"/>
        <v>0</v>
      </c>
      <c r="K14" s="35">
        <f t="shared" si="5"/>
        <v>0</v>
      </c>
      <c r="L14" s="35">
        <f t="shared" si="5"/>
        <v>0</v>
      </c>
      <c r="M14" s="35">
        <f t="shared" si="5"/>
        <v>0</v>
      </c>
      <c r="N14" s="35">
        <f t="shared" ref="N14:X14" si="6">+M14</f>
        <v>0</v>
      </c>
      <c r="O14" s="35">
        <f t="shared" si="6"/>
        <v>0</v>
      </c>
      <c r="P14" s="35">
        <f t="shared" si="6"/>
        <v>0</v>
      </c>
      <c r="Q14" s="35">
        <f t="shared" si="6"/>
        <v>0</v>
      </c>
      <c r="R14" s="35">
        <f t="shared" si="6"/>
        <v>0</v>
      </c>
      <c r="S14" s="35">
        <f t="shared" si="6"/>
        <v>0</v>
      </c>
      <c r="T14" s="35">
        <f t="shared" si="6"/>
        <v>0</v>
      </c>
      <c r="U14" s="35">
        <f t="shared" si="6"/>
        <v>0</v>
      </c>
      <c r="V14" s="35">
        <f t="shared" si="6"/>
        <v>0</v>
      </c>
      <c r="W14" s="35">
        <f t="shared" si="6"/>
        <v>0</v>
      </c>
      <c r="X14" s="35">
        <f t="shared" si="6"/>
        <v>0</v>
      </c>
    </row>
    <row r="15" spans="1:24">
      <c r="A15" s="35" t="s">
        <v>104</v>
      </c>
      <c r="B15" s="35" t="s">
        <v>102</v>
      </c>
      <c r="C15" s="35"/>
      <c r="D15" s="35">
        <f>+(D11*D13+D12*D14)*$H$5/10^5</f>
        <v>720</v>
      </c>
      <c r="E15" s="35">
        <f t="shared" ref="E15:X15" si="7">+(E11*E13+E12*E14)*$H$5/10^5</f>
        <v>1620</v>
      </c>
      <c r="F15" s="35">
        <f t="shared" si="7"/>
        <v>2808</v>
      </c>
      <c r="G15" s="35">
        <f t="shared" si="7"/>
        <v>3024</v>
      </c>
      <c r="H15" s="35">
        <f t="shared" si="7"/>
        <v>3024</v>
      </c>
      <c r="I15" s="35">
        <f t="shared" si="7"/>
        <v>3024</v>
      </c>
      <c r="J15" s="35">
        <f t="shared" si="7"/>
        <v>3024</v>
      </c>
      <c r="K15" s="35">
        <f t="shared" si="7"/>
        <v>3024</v>
      </c>
      <c r="L15" s="35">
        <f t="shared" si="7"/>
        <v>3024</v>
      </c>
      <c r="M15" s="35">
        <f t="shared" si="7"/>
        <v>3024</v>
      </c>
      <c r="N15" s="35">
        <f t="shared" si="7"/>
        <v>3024</v>
      </c>
      <c r="O15" s="35">
        <f t="shared" si="7"/>
        <v>3024</v>
      </c>
      <c r="P15" s="35">
        <f t="shared" si="7"/>
        <v>3024</v>
      </c>
      <c r="Q15" s="35">
        <f t="shared" si="7"/>
        <v>3024</v>
      </c>
      <c r="R15" s="35">
        <f t="shared" si="7"/>
        <v>3024</v>
      </c>
      <c r="S15" s="35">
        <f t="shared" si="7"/>
        <v>3024</v>
      </c>
      <c r="T15" s="35">
        <f t="shared" si="7"/>
        <v>3024</v>
      </c>
      <c r="U15" s="35">
        <f t="shared" si="7"/>
        <v>3024</v>
      </c>
      <c r="V15" s="35">
        <f t="shared" si="7"/>
        <v>3024</v>
      </c>
      <c r="W15" s="35">
        <f t="shared" si="7"/>
        <v>3024</v>
      </c>
      <c r="X15" s="35">
        <f t="shared" si="7"/>
        <v>1008</v>
      </c>
    </row>
    <row r="16" spans="1:24">
      <c r="A16" s="35" t="s">
        <v>23</v>
      </c>
      <c r="B16" s="35" t="s">
        <v>102</v>
      </c>
      <c r="C16" s="35"/>
      <c r="D16" s="35">
        <f>+'Operation &amp; WC-CFL'!C14</f>
        <v>484.43338666666659</v>
      </c>
      <c r="E16" s="35">
        <f>+'Operation &amp; WC-CFL'!D14</f>
        <v>932.32786399999986</v>
      </c>
      <c r="F16" s="35">
        <f>+'Operation &amp; WC-CFL'!E14</f>
        <v>1363.4613368</v>
      </c>
      <c r="G16" s="35">
        <f>+'Operation &amp; WC-CFL'!F14</f>
        <v>1472.11925916</v>
      </c>
      <c r="H16" s="35">
        <f>+'Operation &amp; WC-CFL'!G14</f>
        <v>1495.0353327419998</v>
      </c>
      <c r="I16" s="35">
        <f>+'Operation &amp; WC-CFL'!H14</f>
        <v>1521.4958841278999</v>
      </c>
      <c r="J16" s="35">
        <f>+'Operation &amp; WC-CFL'!I14</f>
        <v>1552.1578720328548</v>
      </c>
      <c r="K16" s="35">
        <f>+'Operation &amp; WC-CFL'!J14</f>
        <v>1587.8070500727697</v>
      </c>
      <c r="L16" s="35">
        <f>+'Operation &amp; WC-CFL'!K14</f>
        <v>1629.3835959023345</v>
      </c>
      <c r="M16" s="35">
        <f>+'Operation &amp; WC-CFL'!L14</f>
        <v>1678.0128596885629</v>
      </c>
      <c r="N16" s="35">
        <f>+'Operation &amp; WC-CFL'!M14</f>
        <v>1735.0422554623251</v>
      </c>
      <c r="O16" s="35">
        <f>+'Operation &amp; WC-CFL'!N14</f>
        <v>1802.0855235826421</v>
      </c>
      <c r="P16" s="35">
        <f>+'Operation &amp; WC-CFL'!O14</f>
        <v>1881.0758381784153</v>
      </c>
      <c r="Q16" s="35">
        <f>+'Operation &amp; WC-CFL'!P14</f>
        <v>1974.3295281873052</v>
      </c>
      <c r="R16" s="35">
        <f>+'Operation &amp; WC-CFL'!Q14</f>
        <v>2084.6225343166334</v>
      </c>
      <c r="S16" s="35">
        <f>+'Operation &amp; WC-CFL'!R14</f>
        <v>2215.2821486964203</v>
      </c>
      <c r="T16" s="35">
        <f>+'Operation &amp; WC-CFL'!S14</f>
        <v>2370.297093327988</v>
      </c>
      <c r="U16" s="35">
        <f>+'Operation &amp; WC-CFL'!T14</f>
        <v>2554.4496046304835</v>
      </c>
      <c r="V16" s="35">
        <f>+'Operation &amp; WC-CFL'!U14</f>
        <v>2773.4739248253231</v>
      </c>
      <c r="W16" s="35">
        <f>+'Operation &amp; WC-CFL'!V14</f>
        <v>3034.2464810225674</v>
      </c>
      <c r="X16" s="35">
        <f>+'Operation &amp; WC-CFL'!W14</f>
        <v>2670.8972890208697</v>
      </c>
    </row>
    <row r="17" spans="1:24">
      <c r="A17" s="35" t="s">
        <v>25</v>
      </c>
      <c r="B17" s="35" t="s">
        <v>102</v>
      </c>
      <c r="C17" s="35"/>
      <c r="D17" s="35">
        <f>+D16</f>
        <v>484.43338666666659</v>
      </c>
      <c r="E17" s="35">
        <f t="shared" ref="E17:X17" si="8">+E16</f>
        <v>932.32786399999986</v>
      </c>
      <c r="F17" s="35">
        <f t="shared" si="8"/>
        <v>1363.4613368</v>
      </c>
      <c r="G17" s="35">
        <f t="shared" si="8"/>
        <v>1472.11925916</v>
      </c>
      <c r="H17" s="35">
        <f t="shared" si="8"/>
        <v>1495.0353327419998</v>
      </c>
      <c r="I17" s="35">
        <f t="shared" si="8"/>
        <v>1521.4958841278999</v>
      </c>
      <c r="J17" s="35">
        <f t="shared" si="8"/>
        <v>1552.1578720328548</v>
      </c>
      <c r="K17" s="35">
        <f t="shared" si="8"/>
        <v>1587.8070500727697</v>
      </c>
      <c r="L17" s="35">
        <f t="shared" si="8"/>
        <v>1629.3835959023345</v>
      </c>
      <c r="M17" s="35">
        <f t="shared" si="8"/>
        <v>1678.0128596885629</v>
      </c>
      <c r="N17" s="35">
        <f t="shared" si="8"/>
        <v>1735.0422554623251</v>
      </c>
      <c r="O17" s="35">
        <f t="shared" si="8"/>
        <v>1802.0855235826421</v>
      </c>
      <c r="P17" s="35">
        <f t="shared" si="8"/>
        <v>1881.0758381784153</v>
      </c>
      <c r="Q17" s="35">
        <f t="shared" si="8"/>
        <v>1974.3295281873052</v>
      </c>
      <c r="R17" s="35">
        <f t="shared" si="8"/>
        <v>2084.6225343166334</v>
      </c>
      <c r="S17" s="35">
        <f t="shared" si="8"/>
        <v>2215.2821486964203</v>
      </c>
      <c r="T17" s="35">
        <f t="shared" si="8"/>
        <v>2370.297093327988</v>
      </c>
      <c r="U17" s="35">
        <f t="shared" si="8"/>
        <v>2554.4496046304835</v>
      </c>
      <c r="V17" s="35">
        <f t="shared" si="8"/>
        <v>2773.4739248253231</v>
      </c>
      <c r="W17" s="35">
        <f t="shared" si="8"/>
        <v>3034.2464810225674</v>
      </c>
      <c r="X17" s="35">
        <f t="shared" si="8"/>
        <v>2670.8972890208697</v>
      </c>
    </row>
    <row r="18" spans="1:24">
      <c r="A18" s="83" t="s">
        <v>58</v>
      </c>
      <c r="B18" s="35" t="s">
        <v>102</v>
      </c>
      <c r="C18" s="35"/>
      <c r="D18" s="35">
        <f>'Assum-CFL'!C52</f>
        <v>16</v>
      </c>
      <c r="E18" s="35">
        <f>'Assum-CFL'!C53</f>
        <v>26.400000000000002</v>
      </c>
      <c r="F18" s="35">
        <f>E18*(1+'Assum-CFL'!$C$54)</f>
        <v>29.040000000000006</v>
      </c>
      <c r="G18" s="35">
        <f>F18*(1+'Assum-CFL'!$C$54)</f>
        <v>31.94400000000001</v>
      </c>
      <c r="H18" s="35">
        <f>G18*(1+'Assum-CFL'!$C$54)</f>
        <v>35.138400000000011</v>
      </c>
      <c r="I18" s="35">
        <f>H18*(1+'Assum-CFL'!$C$54)</f>
        <v>38.652240000000013</v>
      </c>
      <c r="J18" s="35">
        <f>I18*(1+'Assum-CFL'!$C$54)</f>
        <v>42.517464000000018</v>
      </c>
      <c r="K18" s="35">
        <f>J18*(1+'Assum-CFL'!$C$54)</f>
        <v>46.769210400000027</v>
      </c>
      <c r="L18" s="35">
        <f>K18*(1+'Assum-CFL'!$C$54)</f>
        <v>51.44613144000003</v>
      </c>
      <c r="M18" s="35">
        <f>L18*(1+'Assum-CFL'!$C$54)</f>
        <v>56.590744584000035</v>
      </c>
      <c r="N18" s="35">
        <f>M18*(1+'Assum-CFL'!$C$54)</f>
        <v>62.249819042400041</v>
      </c>
      <c r="O18" s="35">
        <f>N18*(1+'Assum-CFL'!$C$54)</f>
        <v>68.474800946640045</v>
      </c>
      <c r="P18" s="35">
        <f>O18*(1+'Assum-CFL'!$C$54)</f>
        <v>75.322281041304052</v>
      </c>
      <c r="Q18" s="35">
        <f>P18*(1+'Assum-CFL'!$C$54)</f>
        <v>82.854509145434463</v>
      </c>
      <c r="R18" s="35">
        <f>Q18*(1+'Assum-CFL'!$C$54)</f>
        <v>91.139960059977923</v>
      </c>
      <c r="S18" s="35">
        <f>R18*(1+'Assum-CFL'!$C$54)</f>
        <v>100.25395606597573</v>
      </c>
      <c r="T18" s="35">
        <f>S18*(1+'Assum-CFL'!$C$54)</f>
        <v>110.27935167257331</v>
      </c>
      <c r="U18" s="35">
        <f>T18*(1+'Assum-CFL'!$C$54)</f>
        <v>121.30728683983065</v>
      </c>
      <c r="V18" s="35">
        <f>U18*(1+'Assum-CFL'!$C$54)</f>
        <v>133.43801552381373</v>
      </c>
      <c r="W18" s="35">
        <f>V18*(1+'Assum-CFL'!$C$54)</f>
        <v>146.78181707619513</v>
      </c>
      <c r="X18" s="35">
        <f>W18*(1+'Assum-CFL'!$C$54)</f>
        <v>161.45999878381465</v>
      </c>
    </row>
    <row r="19" spans="1:24">
      <c r="A19" s="130" t="s">
        <v>176</v>
      </c>
      <c r="B19" s="35"/>
      <c r="C19" s="26"/>
      <c r="D19" s="26"/>
      <c r="E19" s="26"/>
      <c r="F19" s="26"/>
      <c r="G19" s="26"/>
      <c r="H19" s="26"/>
      <c r="I19" s="26"/>
      <c r="J19" s="26"/>
      <c r="K19" s="26"/>
      <c r="L19" s="26"/>
      <c r="M19" s="26"/>
      <c r="N19" s="26"/>
      <c r="O19" s="26"/>
      <c r="P19" s="26"/>
      <c r="Q19" s="26"/>
      <c r="R19" s="26"/>
      <c r="S19" s="26"/>
      <c r="T19" s="26"/>
      <c r="U19" s="26"/>
      <c r="V19" s="26"/>
      <c r="W19" s="26"/>
    </row>
    <row r="20" spans="1:24">
      <c r="A20" s="130" t="s">
        <v>177</v>
      </c>
      <c r="B20" s="35" t="s">
        <v>102</v>
      </c>
      <c r="C20" s="35">
        <f>'Assum-CFL'!C15</f>
        <v>970</v>
      </c>
      <c r="D20" s="26"/>
      <c r="E20" s="26"/>
      <c r="F20" s="26"/>
      <c r="G20" s="26"/>
      <c r="H20" s="26"/>
      <c r="I20" s="26"/>
      <c r="J20" s="26"/>
      <c r="K20" s="26"/>
      <c r="L20" s="26"/>
      <c r="M20" s="26"/>
      <c r="N20" s="26"/>
      <c r="O20" s="26"/>
      <c r="P20" s="26"/>
      <c r="Q20" s="26"/>
      <c r="R20" s="26"/>
      <c r="S20" s="26"/>
      <c r="T20" s="26"/>
      <c r="U20" s="26"/>
      <c r="V20" s="26"/>
      <c r="W20" s="26"/>
    </row>
    <row r="21" spans="1:24">
      <c r="A21" s="130" t="s">
        <v>178</v>
      </c>
      <c r="B21" s="35" t="s">
        <v>102</v>
      </c>
      <c r="C21" s="26"/>
      <c r="D21" s="35">
        <f>$C$20/7*(8/12)</f>
        <v>92.38095238095238</v>
      </c>
      <c r="E21" s="35">
        <f t="shared" ref="E21:J21" si="9">$C$20/7</f>
        <v>138.57142857142858</v>
      </c>
      <c r="F21" s="35">
        <f t="shared" si="9"/>
        <v>138.57142857142858</v>
      </c>
      <c r="G21" s="35">
        <f t="shared" si="9"/>
        <v>138.57142857142858</v>
      </c>
      <c r="H21" s="35">
        <f t="shared" si="9"/>
        <v>138.57142857142858</v>
      </c>
      <c r="I21" s="35">
        <f t="shared" si="9"/>
        <v>138.57142857142858</v>
      </c>
      <c r="J21" s="35">
        <f t="shared" si="9"/>
        <v>138.57142857142858</v>
      </c>
      <c r="K21" s="35">
        <f>$C$20/7*(4/12)</f>
        <v>46.19047619047619</v>
      </c>
      <c r="L21" s="35"/>
      <c r="M21" s="35"/>
      <c r="N21" s="35"/>
      <c r="O21" s="35"/>
      <c r="P21" s="35"/>
      <c r="Q21" s="35"/>
      <c r="R21" s="35"/>
      <c r="S21" s="35"/>
      <c r="T21" s="35"/>
      <c r="U21" s="35"/>
      <c r="V21" s="35"/>
      <c r="W21" s="35"/>
      <c r="X21" s="9"/>
    </row>
    <row r="22" spans="1:24">
      <c r="A22" s="130" t="s">
        <v>179</v>
      </c>
      <c r="B22" s="35" t="s">
        <v>102</v>
      </c>
      <c r="C22" s="26"/>
      <c r="D22" s="35">
        <f>C20-D21</f>
        <v>877.61904761904759</v>
      </c>
      <c r="E22" s="35">
        <f>D22-E21</f>
        <v>739.04761904761904</v>
      </c>
      <c r="F22" s="35">
        <f t="shared" ref="F22:K22" si="10">E22-F21</f>
        <v>600.47619047619048</v>
      </c>
      <c r="G22" s="35">
        <f t="shared" si="10"/>
        <v>461.90476190476193</v>
      </c>
      <c r="H22" s="35">
        <f t="shared" si="10"/>
        <v>323.33333333333337</v>
      </c>
      <c r="I22" s="35">
        <f t="shared" si="10"/>
        <v>184.76190476190479</v>
      </c>
      <c r="J22" s="35">
        <f t="shared" si="10"/>
        <v>46.190476190476204</v>
      </c>
      <c r="K22" s="35">
        <f t="shared" si="10"/>
        <v>0</v>
      </c>
      <c r="L22" s="35"/>
      <c r="M22" s="35"/>
      <c r="N22" s="35"/>
      <c r="O22" s="35"/>
      <c r="P22" s="35"/>
      <c r="Q22" s="35"/>
      <c r="R22" s="35"/>
      <c r="S22" s="35"/>
      <c r="T22" s="35"/>
      <c r="U22" s="35"/>
      <c r="V22" s="35"/>
      <c r="W22" s="35"/>
      <c r="X22" s="9"/>
    </row>
    <row r="23" spans="1:24">
      <c r="A23" s="35" t="s">
        <v>55</v>
      </c>
      <c r="B23" s="35" t="s">
        <v>102</v>
      </c>
      <c r="C23" s="26"/>
      <c r="D23" s="35">
        <f>'Assum-CFL'!$C$56*D22</f>
        <v>114.0904761904762</v>
      </c>
      <c r="E23" s="35">
        <f>'Assum-CFL'!$C$56*E22</f>
        <v>96.076190476190476</v>
      </c>
      <c r="F23" s="35">
        <f>'Assum-CFL'!$C$56*F22</f>
        <v>78.061904761904771</v>
      </c>
      <c r="G23" s="35">
        <f>'Assum-CFL'!$C$56*G22</f>
        <v>60.047619047619051</v>
      </c>
      <c r="H23" s="35">
        <f>'Assum-CFL'!$C$56*H22</f>
        <v>42.033333333333339</v>
      </c>
      <c r="I23" s="35">
        <f>'Assum-CFL'!$C$56*I22</f>
        <v>24.019047619047623</v>
      </c>
      <c r="J23" s="35">
        <f>'Assum-CFL'!$C$56*J22</f>
        <v>6.0047619047619065</v>
      </c>
      <c r="K23" s="35">
        <f>'Assum-CFL'!$C$56*K22</f>
        <v>0</v>
      </c>
      <c r="L23" s="9"/>
      <c r="M23" s="9"/>
      <c r="N23" s="9"/>
      <c r="O23" s="9"/>
      <c r="P23" s="9"/>
      <c r="Q23" s="9"/>
      <c r="R23" s="9"/>
      <c r="S23" s="9"/>
      <c r="T23" s="9"/>
      <c r="U23" s="9"/>
      <c r="V23" s="9"/>
      <c r="W23" s="9"/>
      <c r="X23" s="9"/>
    </row>
    <row r="24" spans="1:24">
      <c r="A24" s="35" t="s">
        <v>56</v>
      </c>
      <c r="B24" s="35" t="s">
        <v>102</v>
      </c>
      <c r="C24" s="26"/>
      <c r="D24" s="35">
        <f>'Operation &amp; WC-CFL'!C36</f>
        <v>13.58049572761143</v>
      </c>
      <c r="E24" s="35">
        <f>'Operation &amp; WC-CFL'!D36</f>
        <v>18.933404734799996</v>
      </c>
      <c r="F24" s="35">
        <f>'Operation &amp; WC-CFL'!E36</f>
        <v>38.144332630800001</v>
      </c>
      <c r="G24" s="35">
        <f>'Operation &amp; WC-CFL'!F36</f>
        <v>41.864253748499998</v>
      </c>
      <c r="H24" s="35">
        <f>'Operation &amp; WC-CFL'!G36</f>
        <v>42.036124300364996</v>
      </c>
      <c r="I24" s="35">
        <f>'Operation &amp; WC-CFL'!H36</f>
        <v>42.234578435759246</v>
      </c>
      <c r="J24" s="35">
        <f>'Operation &amp; WC-CFL'!I36</f>
        <v>42.464543345046401</v>
      </c>
      <c r="K24" s="35">
        <f>'Operation &amp; WC-CFL'!J36</f>
        <v>42.731912180345773</v>
      </c>
      <c r="L24" s="35">
        <f>'Operation &amp; WC-CFL'!K36</f>
        <v>43.043736274067506</v>
      </c>
      <c r="M24" s="35">
        <f>'Operation &amp; WC-CFL'!L36</f>
        <v>43.408455752464221</v>
      </c>
      <c r="N24" s="35">
        <f>'Operation &amp; WC-CFL'!M36</f>
        <v>43.836176220767442</v>
      </c>
      <c r="O24" s="35">
        <f>'Operation &amp; WC-CFL'!N36</f>
        <v>44.33900073166982</v>
      </c>
      <c r="P24" s="35">
        <f>'Operation &amp; WC-CFL'!O36</f>
        <v>44.931428091138109</v>
      </c>
      <c r="Q24" s="35">
        <f>'Operation &amp; WC-CFL'!P36</f>
        <v>45.630830766204781</v>
      </c>
      <c r="R24" s="35">
        <f>'Operation &amp; WC-CFL'!Q36</f>
        <v>46.458028312174754</v>
      </c>
      <c r="S24" s="35">
        <f>'Operation &amp; WC-CFL'!R36</f>
        <v>47.437975420023157</v>
      </c>
      <c r="T24" s="35">
        <f>'Operation &amp; WC-CFL'!S36</f>
        <v>48.600587504759901</v>
      </c>
      <c r="U24" s="35">
        <f>'Operation &amp; WC-CFL'!T36</f>
        <v>49.981731339528622</v>
      </c>
      <c r="V24" s="35">
        <f>'Operation &amp; WC-CFL'!U36</f>
        <v>51.624413740989922</v>
      </c>
      <c r="W24" s="35">
        <f>'Operation &amp; WC-CFL'!V36</f>
        <v>53.144916418069258</v>
      </c>
      <c r="X24" s="35">
        <f>'Operation &amp; WC-CFL'!W36</f>
        <v>23.086674167656522</v>
      </c>
    </row>
    <row r="25" spans="1:24">
      <c r="A25" s="35" t="s">
        <v>54</v>
      </c>
      <c r="B25" s="35" t="s">
        <v>102</v>
      </c>
      <c r="C25" s="26"/>
      <c r="D25" s="35">
        <f>'Assum-CFL'!$C$55*D15</f>
        <v>54</v>
      </c>
      <c r="E25" s="35">
        <f>'Assum-CFL'!$C$55*E15</f>
        <v>121.5</v>
      </c>
      <c r="F25" s="35">
        <f>'Assum-CFL'!$C$55*F15</f>
        <v>210.6</v>
      </c>
      <c r="G25" s="35">
        <f>'Assum-CFL'!$C$55*G15</f>
        <v>226.79999999999998</v>
      </c>
      <c r="H25" s="35">
        <f>'Assum-CFL'!$C$55*H15</f>
        <v>226.79999999999998</v>
      </c>
      <c r="I25" s="35">
        <f>'Assum-CFL'!$C$55*I15</f>
        <v>226.79999999999998</v>
      </c>
      <c r="J25" s="35">
        <f>'Assum-CFL'!$C$55*J15</f>
        <v>226.79999999999998</v>
      </c>
      <c r="K25" s="35">
        <f>'Assum-CFL'!$C$55*K15</f>
        <v>226.79999999999998</v>
      </c>
      <c r="L25" s="35">
        <f>'Assum-CFL'!$C$55*L15</f>
        <v>226.79999999999998</v>
      </c>
      <c r="M25" s="35">
        <f>'Assum-CFL'!$C$55*M15</f>
        <v>226.79999999999998</v>
      </c>
      <c r="N25" s="35">
        <f>'Assum-CFL'!$C$55*N15</f>
        <v>226.79999999999998</v>
      </c>
      <c r="O25" s="35">
        <f>'Assum-CFL'!$C$55*O15</f>
        <v>226.79999999999998</v>
      </c>
      <c r="P25" s="35">
        <f>'Assum-CFL'!$C$55*P15</f>
        <v>226.79999999999998</v>
      </c>
      <c r="Q25" s="35">
        <f>'Assum-CFL'!$C$55*Q15</f>
        <v>226.79999999999998</v>
      </c>
      <c r="R25" s="35">
        <f>'Assum-CFL'!$C$55*R15</f>
        <v>226.79999999999998</v>
      </c>
      <c r="S25" s="35">
        <f>'Assum-CFL'!$C$55*S15</f>
        <v>226.79999999999998</v>
      </c>
      <c r="T25" s="35">
        <f>'Assum-CFL'!$C$55*T15</f>
        <v>226.79999999999998</v>
      </c>
      <c r="U25" s="35">
        <f>'Assum-CFL'!$C$55*U15</f>
        <v>226.79999999999998</v>
      </c>
      <c r="V25" s="35">
        <f>'Assum-CFL'!$C$55*V15</f>
        <v>226.79999999999998</v>
      </c>
      <c r="W25" s="35">
        <f>'Assum-CFL'!$C$55*W15</f>
        <v>226.79999999999998</v>
      </c>
      <c r="X25" s="35">
        <f>'Assum-CFL'!$C$55*X15</f>
        <v>75.599999999999994</v>
      </c>
    </row>
    <row r="26" spans="1:24">
      <c r="A26" s="35" t="s">
        <v>57</v>
      </c>
      <c r="B26" s="35" t="s">
        <v>102</v>
      </c>
      <c r="C26" s="26"/>
      <c r="D26" s="35">
        <f t="shared" ref="D26:W26" si="11">+D17+D18+D25+D23+D24</f>
        <v>682.10435858475421</v>
      </c>
      <c r="E26" s="35">
        <f t="shared" si="11"/>
        <v>1195.2374592109904</v>
      </c>
      <c r="F26" s="35">
        <f t="shared" si="11"/>
        <v>1719.3075741927046</v>
      </c>
      <c r="G26" s="35">
        <f t="shared" si="11"/>
        <v>1832.7751319561189</v>
      </c>
      <c r="H26" s="35">
        <f t="shared" si="11"/>
        <v>1841.043190375698</v>
      </c>
      <c r="I26" s="35">
        <f t="shared" si="11"/>
        <v>1853.2017501827067</v>
      </c>
      <c r="J26" s="35">
        <f t="shared" si="11"/>
        <v>1869.944641282663</v>
      </c>
      <c r="K26" s="35">
        <f t="shared" si="11"/>
        <v>1904.1081726531154</v>
      </c>
      <c r="L26" s="35">
        <f t="shared" si="11"/>
        <v>1950.6734636164019</v>
      </c>
      <c r="M26" s="35">
        <f t="shared" si="11"/>
        <v>2004.8120600250272</v>
      </c>
      <c r="N26" s="35">
        <f t="shared" si="11"/>
        <v>2067.9282507254925</v>
      </c>
      <c r="O26" s="35">
        <f t="shared" si="11"/>
        <v>2141.6993252609518</v>
      </c>
      <c r="P26" s="35">
        <f t="shared" si="11"/>
        <v>2228.1295473108576</v>
      </c>
      <c r="Q26" s="35">
        <f t="shared" si="11"/>
        <v>2329.6148680989445</v>
      </c>
      <c r="R26" s="35">
        <f t="shared" si="11"/>
        <v>2449.0205226887865</v>
      </c>
      <c r="S26" s="35">
        <f t="shared" si="11"/>
        <v>2589.7740801824193</v>
      </c>
      <c r="T26" s="35">
        <f t="shared" si="11"/>
        <v>2755.9770325053214</v>
      </c>
      <c r="U26" s="35">
        <f t="shared" si="11"/>
        <v>2952.5386228098432</v>
      </c>
      <c r="V26" s="35">
        <f t="shared" si="11"/>
        <v>3185.3363540901269</v>
      </c>
      <c r="W26" s="35">
        <f t="shared" si="11"/>
        <v>3460.9732145168323</v>
      </c>
      <c r="X26" s="35">
        <f>+X17+X18+X25+X23+X24</f>
        <v>2931.0439619723406</v>
      </c>
    </row>
    <row r="27" spans="1:24">
      <c r="A27" s="35" t="s">
        <v>27</v>
      </c>
      <c r="B27" s="35" t="s">
        <v>102</v>
      </c>
      <c r="C27" s="26"/>
      <c r="D27" s="35">
        <f>'Depreciation-CFL'!E54</f>
        <v>60.759600426666658</v>
      </c>
      <c r="E27" s="35">
        <f>'Depreciation-CFL'!F54</f>
        <v>91.139400639999991</v>
      </c>
      <c r="F27" s="35">
        <f>'Depreciation-CFL'!G54</f>
        <v>91.139400639999991</v>
      </c>
      <c r="G27" s="35">
        <f>'Depreciation-CFL'!H54</f>
        <v>91.139400639999991</v>
      </c>
      <c r="H27" s="35">
        <f>'Depreciation-CFL'!I54</f>
        <v>91.139400639999991</v>
      </c>
      <c r="I27" s="35">
        <f>'Depreciation-CFL'!J54</f>
        <v>91.139400639999991</v>
      </c>
      <c r="J27" s="35">
        <f>'Depreciation-CFL'!K54</f>
        <v>91.139400639999991</v>
      </c>
      <c r="K27" s="35">
        <f>'Depreciation-CFL'!L54</f>
        <v>91.139400639999991</v>
      </c>
      <c r="L27" s="35">
        <f>'Depreciation-CFL'!M54</f>
        <v>91.139400639999991</v>
      </c>
      <c r="M27" s="35">
        <f>'Depreciation-CFL'!N54</f>
        <v>91.139400639999991</v>
      </c>
      <c r="N27" s="35">
        <f>'Depreciation-CFL'!O54</f>
        <v>91.139400639999991</v>
      </c>
      <c r="O27" s="35">
        <f>'Depreciation-CFL'!P54</f>
        <v>91.139400639999991</v>
      </c>
      <c r="P27" s="35">
        <f>'Depreciation-CFL'!Q54</f>
        <v>91.139400639999991</v>
      </c>
      <c r="Q27" s="35">
        <f>'Depreciation-CFL'!R54</f>
        <v>91.139400639999991</v>
      </c>
      <c r="R27" s="35">
        <f>'Depreciation-CFL'!S54</f>
        <v>91.139400639999991</v>
      </c>
      <c r="S27" s="35">
        <f>'Depreciation-CFL'!T54</f>
        <v>91.139400639999991</v>
      </c>
      <c r="T27" s="35">
        <f>'Depreciation-CFL'!U54</f>
        <v>91.139400639999991</v>
      </c>
      <c r="U27" s="35">
        <f>'Depreciation-CFL'!V54</f>
        <v>91.139400639999991</v>
      </c>
      <c r="V27" s="35">
        <f>'Depreciation-CFL'!W54</f>
        <v>91.139400639999991</v>
      </c>
      <c r="W27" s="35">
        <f>'Depreciation-CFL'!X54</f>
        <v>33.100534719999523</v>
      </c>
      <c r="X27" s="35">
        <f>'Depreciation-CFL'!Y54</f>
        <v>3.7786533333333328</v>
      </c>
    </row>
    <row r="28" spans="1:24">
      <c r="A28" s="131" t="s">
        <v>99</v>
      </c>
      <c r="B28" s="35" t="s">
        <v>102</v>
      </c>
      <c r="C28" s="26"/>
      <c r="D28" s="35">
        <f t="shared" ref="D28:X28" ca="1" si="12">+D26+D27-D51</f>
        <v>742.86395901142089</v>
      </c>
      <c r="E28" s="35">
        <f t="shared" ca="1" si="12"/>
        <v>1286.3768598509905</v>
      </c>
      <c r="F28" s="35">
        <f t="shared" ca="1" si="12"/>
        <v>1810.4469748327047</v>
      </c>
      <c r="G28" s="35">
        <f t="shared" ca="1" si="12"/>
        <v>1923.914532596119</v>
      </c>
      <c r="H28" s="35">
        <f t="shared" ca="1" si="12"/>
        <v>1932.1825910156981</v>
      </c>
      <c r="I28" s="35">
        <f t="shared" ca="1" si="12"/>
        <v>1944.3411508227068</v>
      </c>
      <c r="J28" s="35">
        <f t="shared" ca="1" si="12"/>
        <v>1961.0840419226631</v>
      </c>
      <c r="K28" s="35">
        <f t="shared" ca="1" si="12"/>
        <v>1995.2475732931155</v>
      </c>
      <c r="L28" s="35">
        <f t="shared" ca="1" si="12"/>
        <v>2041.812864256402</v>
      </c>
      <c r="M28" s="35">
        <f t="shared" ca="1" si="12"/>
        <v>2095.9514606650273</v>
      </c>
      <c r="N28" s="35">
        <f t="shared" ca="1" si="12"/>
        <v>2159.0676513654926</v>
      </c>
      <c r="O28" s="35">
        <f t="shared" ca="1" si="12"/>
        <v>2232.8387259009519</v>
      </c>
      <c r="P28" s="35">
        <f t="shared" ca="1" si="12"/>
        <v>2319.2689479508576</v>
      </c>
      <c r="Q28" s="35">
        <f t="shared" ca="1" si="12"/>
        <v>2420.7542687389446</v>
      </c>
      <c r="R28" s="35">
        <f t="shared" ca="1" si="12"/>
        <v>2540.1599233287866</v>
      </c>
      <c r="S28" s="35">
        <f t="shared" ca="1" si="12"/>
        <v>2680.9134808224194</v>
      </c>
      <c r="T28" s="35">
        <f t="shared" ca="1" si="12"/>
        <v>2847.1164331453215</v>
      </c>
      <c r="U28" s="35">
        <f t="shared" ca="1" si="12"/>
        <v>2802.9786347565105</v>
      </c>
      <c r="V28" s="35">
        <f t="shared" ca="1" si="12"/>
        <v>3276.4757547301269</v>
      </c>
      <c r="W28" s="35">
        <f t="shared" ca="1" si="12"/>
        <v>3494.0737492368316</v>
      </c>
      <c r="X28" s="35">
        <f t="shared" ca="1" si="12"/>
        <v>2934.8226153056739</v>
      </c>
    </row>
    <row r="29" spans="1:24">
      <c r="A29" s="131" t="s">
        <v>100</v>
      </c>
      <c r="B29" s="35" t="s">
        <v>101</v>
      </c>
      <c r="C29" s="26"/>
      <c r="D29" s="35">
        <f t="shared" ref="D29:X29" ca="1" si="13">D28*100000/(D11+D12)</f>
        <v>30.952664958809205</v>
      </c>
      <c r="E29" s="35">
        <f t="shared" ca="1" si="13"/>
        <v>23.821793700944269</v>
      </c>
      <c r="F29" s="35">
        <f t="shared" ca="1" si="13"/>
        <v>19.342382209751118</v>
      </c>
      <c r="G29" s="35">
        <f t="shared" ca="1" si="13"/>
        <v>19.08645369639007</v>
      </c>
      <c r="H29" s="35">
        <f t="shared" ca="1" si="13"/>
        <v>19.168478085473193</v>
      </c>
      <c r="I29" s="35">
        <f t="shared" ca="1" si="13"/>
        <v>19.289098718479234</v>
      </c>
      <c r="J29" s="35">
        <f t="shared" ca="1" si="13"/>
        <v>19.455198828597847</v>
      </c>
      <c r="K29" s="35">
        <f t="shared" ca="1" si="13"/>
        <v>19.794122750923766</v>
      </c>
      <c r="L29" s="35">
        <f t="shared" ca="1" si="13"/>
        <v>20.256080002543669</v>
      </c>
      <c r="M29" s="35">
        <f t="shared" ca="1" si="13"/>
        <v>20.793169252629237</v>
      </c>
      <c r="N29" s="35">
        <f t="shared" ca="1" si="13"/>
        <v>21.419321938149729</v>
      </c>
      <c r="O29" s="35">
        <f t="shared" ca="1" si="13"/>
        <v>22.151177836318968</v>
      </c>
      <c r="P29" s="35">
        <f t="shared" ca="1" si="13"/>
        <v>23.008620515385491</v>
      </c>
      <c r="Q29" s="35">
        <f t="shared" ca="1" si="13"/>
        <v>24.015419332727625</v>
      </c>
      <c r="R29" s="35">
        <f t="shared" ca="1" si="13"/>
        <v>25.199999239372882</v>
      </c>
      <c r="S29" s="35">
        <f t="shared" ca="1" si="13"/>
        <v>26.596363897047812</v>
      </c>
      <c r="T29" s="35">
        <f t="shared" ca="1" si="13"/>
        <v>28.245202709775015</v>
      </c>
      <c r="U29" s="35">
        <f t="shared" ca="1" si="13"/>
        <v>27.807327725759031</v>
      </c>
      <c r="V29" s="35">
        <f t="shared" ca="1" si="13"/>
        <v>32.504719788989355</v>
      </c>
      <c r="W29" s="35">
        <f t="shared" ca="1" si="13"/>
        <v>34.663430051952695</v>
      </c>
      <c r="X29" s="35">
        <f t="shared" ca="1" si="13"/>
        <v>87.345911169811728</v>
      </c>
    </row>
    <row r="30" spans="1:24">
      <c r="A30" s="131" t="s">
        <v>239</v>
      </c>
      <c r="B30" s="9"/>
      <c r="C30" s="26">
        <f>SUM(D30:W30)</f>
        <v>9.8916428664473859</v>
      </c>
      <c r="D30" s="35">
        <f>1/1.079</f>
        <v>0.92678405931417984</v>
      </c>
      <c r="E30" s="35">
        <f>D30/1.079</f>
        <v>0.85892869259886917</v>
      </c>
      <c r="F30" s="35">
        <f t="shared" ref="F30:X30" si="14">E30/1.079</f>
        <v>0.79604142038820125</v>
      </c>
      <c r="G30" s="35">
        <f t="shared" si="14"/>
        <v>0.73775849896960266</v>
      </c>
      <c r="H30" s="35">
        <f t="shared" si="14"/>
        <v>0.68374281646858448</v>
      </c>
      <c r="I30" s="35">
        <f t="shared" si="14"/>
        <v>0.63368194297366498</v>
      </c>
      <c r="J30" s="35">
        <f t="shared" si="14"/>
        <v>0.58728632342322984</v>
      </c>
      <c r="K30" s="35">
        <f t="shared" si="14"/>
        <v>0.54428760280188127</v>
      </c>
      <c r="L30" s="35">
        <f t="shared" si="14"/>
        <v>0.50443707395911153</v>
      </c>
      <c r="M30" s="35">
        <f t="shared" si="14"/>
        <v>0.46750423907239252</v>
      </c>
      <c r="N30" s="35">
        <f t="shared" si="14"/>
        <v>0.43327547643409875</v>
      </c>
      <c r="O30" s="35">
        <f t="shared" si="14"/>
        <v>0.4015528048508793</v>
      </c>
      <c r="P30" s="35">
        <f t="shared" si="14"/>
        <v>0.37215273850869257</v>
      </c>
      <c r="Q30" s="35">
        <f t="shared" si="14"/>
        <v>0.34490522567997461</v>
      </c>
      <c r="R30" s="35">
        <f t="shared" si="14"/>
        <v>0.31965266513436019</v>
      </c>
      <c r="S30" s="35">
        <f t="shared" si="14"/>
        <v>0.29624899456381854</v>
      </c>
      <c r="T30" s="35">
        <f t="shared" si="14"/>
        <v>0.27455884574960016</v>
      </c>
      <c r="U30" s="35">
        <f t="shared" si="14"/>
        <v>0.2544567615844302</v>
      </c>
      <c r="V30" s="35">
        <f t="shared" si="14"/>
        <v>0.23582647042115867</v>
      </c>
      <c r="W30" s="35">
        <f t="shared" si="14"/>
        <v>0.2185602135506568</v>
      </c>
      <c r="X30" s="35">
        <f t="shared" si="14"/>
        <v>0.20255812191905173</v>
      </c>
    </row>
    <row r="31" spans="1:24">
      <c r="A31" s="131" t="s">
        <v>103</v>
      </c>
      <c r="B31" s="35" t="s">
        <v>101</v>
      </c>
      <c r="C31" s="26">
        <f ca="1">+SUM(D31:W31)</f>
        <v>227.12167756931581</v>
      </c>
      <c r="D31" s="35">
        <f ca="1">+D30*D29</f>
        <v>28.686436477116967</v>
      </c>
      <c r="E31" s="35">
        <f t="shared" ref="E31:X31" ca="1" si="15">+E30*E29</f>
        <v>20.461222118912037</v>
      </c>
      <c r="F31" s="35">
        <f t="shared" ca="1" si="15"/>
        <v>15.397337407941755</v>
      </c>
      <c r="G31" s="35">
        <f t="shared" ca="1" si="15"/>
        <v>14.081193429701562</v>
      </c>
      <c r="H31" s="35">
        <f t="shared" ca="1" si="15"/>
        <v>13.106309193577781</v>
      </c>
      <c r="I31" s="35">
        <f t="shared" ca="1" si="15"/>
        <v>12.223153554136752</v>
      </c>
      <c r="J31" s="35">
        <f t="shared" ca="1" si="15"/>
        <v>11.425772191515158</v>
      </c>
      <c r="K31" s="35">
        <f t="shared" ca="1" si="15"/>
        <v>10.773695621666477</v>
      </c>
      <c r="L31" s="35">
        <f t="shared" ca="1" si="15"/>
        <v>10.217917726364801</v>
      </c>
      <c r="M31" s="35">
        <f t="shared" ca="1" si="15"/>
        <v>9.720894769353901</v>
      </c>
      <c r="N31" s="35">
        <f t="shared" ca="1" si="15"/>
        <v>9.2804669176471677</v>
      </c>
      <c r="O31" s="35">
        <f t="shared" ca="1" si="15"/>
        <v>8.8948675909245143</v>
      </c>
      <c r="P31" s="35">
        <f t="shared" ca="1" si="15"/>
        <v>8.5627211341079956</v>
      </c>
      <c r="Q31" s="35">
        <f t="shared" ca="1" si="15"/>
        <v>8.2830436247536472</v>
      </c>
      <c r="R31" s="35">
        <f t="shared" ca="1" si="15"/>
        <v>8.0552469182493915</v>
      </c>
      <c r="S31" s="35">
        <f t="shared" ca="1" si="15"/>
        <v>7.8791460635538568</v>
      </c>
      <c r="T31" s="35">
        <f t="shared" ca="1" si="15"/>
        <v>7.7549702539593062</v>
      </c>
      <c r="U31" s="35">
        <f t="shared" ca="1" si="15"/>
        <v>7.0757625614135815</v>
      </c>
      <c r="V31" s="35">
        <f t="shared" ca="1" si="15"/>
        <v>7.665473339866149</v>
      </c>
      <c r="W31" s="35">
        <f t="shared" ca="1" si="15"/>
        <v>7.5760466745530355</v>
      </c>
      <c r="X31" s="35">
        <f t="shared" ca="1" si="15"/>
        <v>17.692623723865385</v>
      </c>
    </row>
    <row r="32" spans="1:24">
      <c r="A32" s="131" t="s">
        <v>150</v>
      </c>
      <c r="B32" s="35" t="s">
        <v>101</v>
      </c>
      <c r="C32" s="26">
        <f ca="1">+C31/C30</f>
        <v>22.960966205089779</v>
      </c>
      <c r="D32" s="35"/>
      <c r="E32" s="9"/>
      <c r="F32" s="9"/>
      <c r="G32" s="9"/>
      <c r="H32" s="9"/>
      <c r="I32" s="9"/>
      <c r="J32" s="9"/>
      <c r="K32" s="9"/>
      <c r="L32" s="9"/>
      <c r="M32" s="9"/>
      <c r="N32" s="9"/>
      <c r="O32" s="9"/>
      <c r="P32" s="9"/>
      <c r="Q32" s="9"/>
      <c r="R32" s="9"/>
      <c r="S32" s="9"/>
      <c r="T32" s="9"/>
      <c r="U32" s="9"/>
      <c r="V32" s="9"/>
      <c r="W32" s="9"/>
      <c r="X32" s="9"/>
    </row>
    <row r="33" spans="1:24">
      <c r="A33" s="131"/>
      <c r="B33" s="35"/>
      <c r="C33" s="26"/>
      <c r="D33" s="35"/>
      <c r="E33" s="9"/>
      <c r="F33" s="9"/>
      <c r="G33" s="9"/>
      <c r="H33" s="9"/>
      <c r="I33" s="9"/>
      <c r="J33" s="9"/>
      <c r="K33" s="9"/>
      <c r="L33" s="9"/>
      <c r="M33" s="9"/>
      <c r="N33" s="9"/>
      <c r="O33" s="9"/>
      <c r="P33" s="9"/>
      <c r="Q33" s="9"/>
      <c r="R33" s="9"/>
      <c r="S33" s="9"/>
      <c r="T33" s="9"/>
      <c r="U33" s="9"/>
      <c r="V33" s="9"/>
      <c r="W33" s="9"/>
      <c r="X33" s="9"/>
    </row>
    <row r="34" spans="1:24">
      <c r="A34" s="131" t="s">
        <v>143</v>
      </c>
      <c r="B34" s="35"/>
      <c r="C34" s="26"/>
      <c r="D34" s="35"/>
      <c r="E34" s="9"/>
      <c r="F34" s="9"/>
      <c r="G34" s="9"/>
      <c r="H34" s="9"/>
      <c r="I34" s="9"/>
      <c r="J34" s="9"/>
      <c r="K34" s="9"/>
      <c r="L34" s="9"/>
      <c r="M34" s="9"/>
      <c r="N34" s="9"/>
      <c r="O34" s="9"/>
      <c r="P34" s="9"/>
      <c r="Q34" s="9"/>
      <c r="R34" s="9"/>
      <c r="S34" s="9"/>
      <c r="T34" s="9"/>
      <c r="U34" s="9"/>
      <c r="V34" s="9"/>
      <c r="W34" s="9"/>
      <c r="X34" s="9"/>
    </row>
    <row r="35" spans="1:24">
      <c r="A35" s="35" t="s">
        <v>104</v>
      </c>
      <c r="B35" s="35"/>
      <c r="C35" s="26"/>
      <c r="D35" s="35">
        <f>D15</f>
        <v>720</v>
      </c>
      <c r="E35" s="35">
        <f t="shared" ref="E35:W35" si="16">E15</f>
        <v>1620</v>
      </c>
      <c r="F35" s="35">
        <f t="shared" si="16"/>
        <v>2808</v>
      </c>
      <c r="G35" s="35">
        <f t="shared" si="16"/>
        <v>3024</v>
      </c>
      <c r="H35" s="35">
        <f t="shared" si="16"/>
        <v>3024</v>
      </c>
      <c r="I35" s="35">
        <f t="shared" si="16"/>
        <v>3024</v>
      </c>
      <c r="J35" s="35">
        <f t="shared" si="16"/>
        <v>3024</v>
      </c>
      <c r="K35" s="35">
        <f t="shared" si="16"/>
        <v>3024</v>
      </c>
      <c r="L35" s="35">
        <f t="shared" si="16"/>
        <v>3024</v>
      </c>
      <c r="M35" s="35">
        <f t="shared" si="16"/>
        <v>3024</v>
      </c>
      <c r="N35" s="35">
        <f t="shared" si="16"/>
        <v>3024</v>
      </c>
      <c r="O35" s="35">
        <f t="shared" si="16"/>
        <v>3024</v>
      </c>
      <c r="P35" s="35">
        <f t="shared" si="16"/>
        <v>3024</v>
      </c>
      <c r="Q35" s="35">
        <f t="shared" si="16"/>
        <v>3024</v>
      </c>
      <c r="R35" s="35">
        <f t="shared" si="16"/>
        <v>3024</v>
      </c>
      <c r="S35" s="35">
        <f t="shared" si="16"/>
        <v>3024</v>
      </c>
      <c r="T35" s="35">
        <f t="shared" si="16"/>
        <v>3024</v>
      </c>
      <c r="U35" s="35">
        <f t="shared" si="16"/>
        <v>3024</v>
      </c>
      <c r="V35" s="35">
        <f t="shared" si="16"/>
        <v>3024</v>
      </c>
      <c r="W35" s="35">
        <f t="shared" si="16"/>
        <v>3024</v>
      </c>
      <c r="X35" s="35">
        <f>X15</f>
        <v>1008</v>
      </c>
    </row>
    <row r="36" spans="1:24">
      <c r="A36" s="35" t="s">
        <v>127</v>
      </c>
      <c r="B36" s="35"/>
      <c r="C36" s="26"/>
      <c r="D36" s="35">
        <f>'Assum-CFL'!$C$66*D35</f>
        <v>57.6</v>
      </c>
      <c r="E36" s="35">
        <f>'Assum-CFL'!$C$66*E35</f>
        <v>129.6</v>
      </c>
      <c r="F36" s="35">
        <f>'Assum-CFL'!$C$66*F35</f>
        <v>224.64000000000001</v>
      </c>
      <c r="G36" s="35">
        <f>'Assum-CFL'!$C$66*G35</f>
        <v>241.92000000000002</v>
      </c>
      <c r="H36" s="35">
        <f>'Assum-CFL'!$C$66*H35</f>
        <v>241.92000000000002</v>
      </c>
      <c r="I36" s="35">
        <f>'Assum-CFL'!$C$66*I35</f>
        <v>241.92000000000002</v>
      </c>
      <c r="J36" s="35">
        <f>'Assum-CFL'!$C$66*J35</f>
        <v>241.92000000000002</v>
      </c>
      <c r="K36" s="35">
        <f>'Assum-CFL'!$C$66*K35</f>
        <v>241.92000000000002</v>
      </c>
      <c r="L36" s="35">
        <f>'Assum-CFL'!$C$66*L35</f>
        <v>241.92000000000002</v>
      </c>
      <c r="M36" s="35">
        <f>'Assum-CFL'!$C$66*M35</f>
        <v>241.92000000000002</v>
      </c>
      <c r="N36" s="35">
        <f>'Assum-CFL'!$C$66*N35</f>
        <v>241.92000000000002</v>
      </c>
      <c r="O36" s="35">
        <f>'Assum-CFL'!$C$66*O35</f>
        <v>241.92000000000002</v>
      </c>
      <c r="P36" s="35">
        <f>'Assum-CFL'!$C$66*P35</f>
        <v>241.92000000000002</v>
      </c>
      <c r="Q36" s="35">
        <f>'Assum-CFL'!$C$66*Q35</f>
        <v>241.92000000000002</v>
      </c>
      <c r="R36" s="35">
        <f>'Assum-CFL'!$C$66*R35</f>
        <v>241.92000000000002</v>
      </c>
      <c r="S36" s="35">
        <f>'Assum-CFL'!$C$66*S35</f>
        <v>241.92000000000002</v>
      </c>
      <c r="T36" s="35">
        <f>'Assum-CFL'!$C$66*T35</f>
        <v>241.92000000000002</v>
      </c>
      <c r="U36" s="35">
        <f>'Assum-CFL'!$C$66*U35</f>
        <v>241.92000000000002</v>
      </c>
      <c r="V36" s="35">
        <f>'Assum-CFL'!$C$66*V35</f>
        <v>241.92000000000002</v>
      </c>
      <c r="W36" s="35">
        <f>'Assum-CFL'!$C$66*W35</f>
        <v>241.92000000000002</v>
      </c>
      <c r="X36" s="35">
        <f>'Assum-CFL'!$C$66*X35</f>
        <v>80.64</v>
      </c>
    </row>
    <row r="37" spans="1:24">
      <c r="A37" s="35" t="s">
        <v>129</v>
      </c>
      <c r="B37" s="35"/>
      <c r="C37" s="26"/>
      <c r="D37" s="35">
        <f>'Assum-CFL'!$C$67*(D35+D36)</f>
        <v>97.2</v>
      </c>
      <c r="E37" s="35">
        <f>'Assum-CFL'!$C$67*(E35+E36)</f>
        <v>218.7</v>
      </c>
      <c r="F37" s="35">
        <f>'Assum-CFL'!$C$67*(F35+F36)</f>
        <v>379.08</v>
      </c>
      <c r="G37" s="35">
        <f>'Assum-CFL'!$C$67*(G35+G36)</f>
        <v>408.24</v>
      </c>
      <c r="H37" s="35">
        <f>'Assum-CFL'!$C$67*(H35+H36)</f>
        <v>408.24</v>
      </c>
      <c r="I37" s="35">
        <f>'Assum-CFL'!$C$67*(I35+I36)</f>
        <v>408.24</v>
      </c>
      <c r="J37" s="35">
        <f>'Assum-CFL'!$C$67*(J35+J36)</f>
        <v>408.24</v>
      </c>
      <c r="K37" s="35">
        <f>'Assum-CFL'!$C$67*(K35+K36)</f>
        <v>408.24</v>
      </c>
      <c r="L37" s="35">
        <f>'Assum-CFL'!$C$67*(L35+L36)</f>
        <v>408.24</v>
      </c>
      <c r="M37" s="35">
        <f>'Assum-CFL'!$C$67*(M35+M36)</f>
        <v>408.24</v>
      </c>
      <c r="N37" s="35">
        <f>'Assum-CFL'!$C$67*(N35+N36)</f>
        <v>408.24</v>
      </c>
      <c r="O37" s="35">
        <f>'Assum-CFL'!$C$67*(O35+O36)</f>
        <v>408.24</v>
      </c>
      <c r="P37" s="35">
        <f>'Assum-CFL'!$C$67*(P35+P36)</f>
        <v>408.24</v>
      </c>
      <c r="Q37" s="35">
        <f>'Assum-CFL'!$C$67*(Q35+Q36)</f>
        <v>408.24</v>
      </c>
      <c r="R37" s="35">
        <f>'Assum-CFL'!$C$67*(R35+R36)</f>
        <v>408.24</v>
      </c>
      <c r="S37" s="35">
        <f>'Assum-CFL'!$C$67*(S35+S36)</f>
        <v>408.24</v>
      </c>
      <c r="T37" s="35">
        <f>'Assum-CFL'!$C$67*(T35+T36)</f>
        <v>408.24</v>
      </c>
      <c r="U37" s="35">
        <f>'Assum-CFL'!$C$67*(U35+U36)</f>
        <v>408.24</v>
      </c>
      <c r="V37" s="35">
        <f>'Assum-CFL'!$C$67*(V35+V36)</f>
        <v>408.24</v>
      </c>
      <c r="W37" s="35">
        <f>'Assum-CFL'!$C$67*(W35+W36)</f>
        <v>408.24</v>
      </c>
      <c r="X37" s="35">
        <f>'Assum-CFL'!$C$67*(X35+X36)</f>
        <v>136.08000000000001</v>
      </c>
    </row>
    <row r="38" spans="1:24">
      <c r="A38" s="35" t="s">
        <v>128</v>
      </c>
      <c r="B38" s="35"/>
      <c r="C38" s="26"/>
      <c r="D38" s="35">
        <f>D35+D36+D37</f>
        <v>874.80000000000007</v>
      </c>
      <c r="E38" s="35">
        <f t="shared" ref="E38:W38" si="17">E35+E36+E37</f>
        <v>1968.3</v>
      </c>
      <c r="F38" s="35">
        <f t="shared" si="17"/>
        <v>3411.72</v>
      </c>
      <c r="G38" s="35">
        <f t="shared" si="17"/>
        <v>3674.16</v>
      </c>
      <c r="H38" s="35">
        <f t="shared" si="17"/>
        <v>3674.16</v>
      </c>
      <c r="I38" s="35">
        <f t="shared" si="17"/>
        <v>3674.16</v>
      </c>
      <c r="J38" s="35">
        <f t="shared" si="17"/>
        <v>3674.16</v>
      </c>
      <c r="K38" s="35">
        <f t="shared" si="17"/>
        <v>3674.16</v>
      </c>
      <c r="L38" s="35">
        <f t="shared" si="17"/>
        <v>3674.16</v>
      </c>
      <c r="M38" s="35">
        <f t="shared" si="17"/>
        <v>3674.16</v>
      </c>
      <c r="N38" s="35">
        <f t="shared" si="17"/>
        <v>3674.16</v>
      </c>
      <c r="O38" s="35">
        <f t="shared" si="17"/>
        <v>3674.16</v>
      </c>
      <c r="P38" s="35">
        <f t="shared" si="17"/>
        <v>3674.16</v>
      </c>
      <c r="Q38" s="35">
        <f t="shared" si="17"/>
        <v>3674.16</v>
      </c>
      <c r="R38" s="35">
        <f t="shared" si="17"/>
        <v>3674.16</v>
      </c>
      <c r="S38" s="35">
        <f t="shared" si="17"/>
        <v>3674.16</v>
      </c>
      <c r="T38" s="35">
        <f t="shared" si="17"/>
        <v>3674.16</v>
      </c>
      <c r="U38" s="35">
        <f t="shared" si="17"/>
        <v>3674.16</v>
      </c>
      <c r="V38" s="35">
        <f t="shared" si="17"/>
        <v>3674.16</v>
      </c>
      <c r="W38" s="35">
        <f t="shared" si="17"/>
        <v>3674.16</v>
      </c>
      <c r="X38" s="35">
        <f>X35+X36+X37</f>
        <v>1224.72</v>
      </c>
    </row>
    <row r="39" spans="1:24">
      <c r="A39" s="35"/>
      <c r="B39" s="35"/>
      <c r="C39" s="26"/>
      <c r="D39" s="35"/>
      <c r="E39" s="9"/>
      <c r="F39" s="9"/>
      <c r="G39" s="9"/>
      <c r="H39" s="9"/>
      <c r="I39" s="9"/>
      <c r="J39" s="9"/>
      <c r="K39" s="9"/>
      <c r="L39" s="9"/>
      <c r="M39" s="9"/>
      <c r="N39" s="9"/>
      <c r="O39" s="9"/>
      <c r="P39" s="9"/>
      <c r="Q39" s="9"/>
      <c r="R39" s="9"/>
      <c r="S39" s="9"/>
      <c r="T39" s="9"/>
      <c r="U39" s="9"/>
      <c r="V39" s="9"/>
      <c r="W39" s="9"/>
      <c r="X39" s="9"/>
    </row>
    <row r="40" spans="1:24">
      <c r="A40" s="131" t="s">
        <v>144</v>
      </c>
      <c r="B40" s="35"/>
      <c r="C40" s="26"/>
      <c r="D40" s="35">
        <f t="shared" ref="D40:X40" si="18">D35-D17-D18-D25</f>
        <v>165.56661333333341</v>
      </c>
      <c r="E40" s="35">
        <f t="shared" si="18"/>
        <v>539.77213600000016</v>
      </c>
      <c r="F40" s="35">
        <f t="shared" si="18"/>
        <v>1204.8986632000001</v>
      </c>
      <c r="G40" s="35">
        <f t="shared" si="18"/>
        <v>1293.1367408400001</v>
      </c>
      <c r="H40" s="35">
        <f t="shared" si="18"/>
        <v>1267.0262672580002</v>
      </c>
      <c r="I40" s="35">
        <f t="shared" si="18"/>
        <v>1237.0518758721</v>
      </c>
      <c r="J40" s="35">
        <f t="shared" si="18"/>
        <v>1202.5246639671452</v>
      </c>
      <c r="K40" s="35">
        <f t="shared" si="18"/>
        <v>1162.6237395272303</v>
      </c>
      <c r="L40" s="35">
        <f t="shared" si="18"/>
        <v>1116.3702726576655</v>
      </c>
      <c r="M40" s="35">
        <f t="shared" si="18"/>
        <v>1062.5963957274371</v>
      </c>
      <c r="N40" s="35">
        <f t="shared" si="18"/>
        <v>999.90792549527487</v>
      </c>
      <c r="O40" s="35">
        <f t="shared" si="18"/>
        <v>926.63967547071798</v>
      </c>
      <c r="P40" s="35">
        <f t="shared" si="18"/>
        <v>840.80188078028073</v>
      </c>
      <c r="Q40" s="35">
        <f t="shared" si="18"/>
        <v>740.0159626672604</v>
      </c>
      <c r="R40" s="35">
        <f t="shared" si="18"/>
        <v>621.43750562338869</v>
      </c>
      <c r="S40" s="35">
        <f t="shared" si="18"/>
        <v>481.66389523760404</v>
      </c>
      <c r="T40" s="35">
        <f t="shared" si="18"/>
        <v>316.62355499943874</v>
      </c>
      <c r="U40" s="35">
        <f t="shared" si="18"/>
        <v>121.44310852968587</v>
      </c>
      <c r="V40" s="35">
        <f t="shared" si="18"/>
        <v>-109.71194034913685</v>
      </c>
      <c r="W40" s="35">
        <f t="shared" si="18"/>
        <v>-383.8282980987625</v>
      </c>
      <c r="X40" s="35">
        <f t="shared" si="18"/>
        <v>-1899.9572878046843</v>
      </c>
    </row>
    <row r="41" spans="1:24">
      <c r="A41" s="131" t="s">
        <v>121</v>
      </c>
      <c r="B41" s="35"/>
      <c r="C41" s="26"/>
      <c r="D41" s="35">
        <f t="shared" ref="D41:X41" si="19">D40-D23-D24-D27</f>
        <v>-22.863959011420874</v>
      </c>
      <c r="E41" s="35">
        <f t="shared" si="19"/>
        <v>333.62314014900971</v>
      </c>
      <c r="F41" s="35">
        <f t="shared" si="19"/>
        <v>997.55302516729546</v>
      </c>
      <c r="G41" s="35">
        <f t="shared" si="19"/>
        <v>1100.085467403881</v>
      </c>
      <c r="H41" s="35">
        <f t="shared" si="19"/>
        <v>1091.8174089843019</v>
      </c>
      <c r="I41" s="35">
        <f t="shared" si="19"/>
        <v>1079.6588491772932</v>
      </c>
      <c r="J41" s="35">
        <f t="shared" si="19"/>
        <v>1062.9159580773369</v>
      </c>
      <c r="K41" s="35">
        <f t="shared" si="19"/>
        <v>1028.7524267068845</v>
      </c>
      <c r="L41" s="35">
        <f t="shared" si="19"/>
        <v>982.18713574359811</v>
      </c>
      <c r="M41" s="35">
        <f t="shared" si="19"/>
        <v>928.04853933497293</v>
      </c>
      <c r="N41" s="35">
        <f t="shared" si="19"/>
        <v>864.93234863450743</v>
      </c>
      <c r="O41" s="35">
        <f t="shared" si="19"/>
        <v>791.16127409904823</v>
      </c>
      <c r="P41" s="35">
        <f t="shared" si="19"/>
        <v>704.7310520491427</v>
      </c>
      <c r="Q41" s="35">
        <f t="shared" si="19"/>
        <v>603.24573126105565</v>
      </c>
      <c r="R41" s="35">
        <f t="shared" si="19"/>
        <v>483.84007667121398</v>
      </c>
      <c r="S41" s="35">
        <f t="shared" si="19"/>
        <v>343.08651917758084</v>
      </c>
      <c r="T41" s="35">
        <f t="shared" si="19"/>
        <v>176.88356685467883</v>
      </c>
      <c r="U41" s="35">
        <f t="shared" si="19"/>
        <v>-19.67802344984274</v>
      </c>
      <c r="V41" s="35">
        <f t="shared" si="19"/>
        <v>-252.47575473012677</v>
      </c>
      <c r="W41" s="35">
        <f t="shared" si="19"/>
        <v>-470.0737492368313</v>
      </c>
      <c r="X41" s="35">
        <f t="shared" si="19"/>
        <v>-1926.8226153056742</v>
      </c>
    </row>
    <row r="42" spans="1:24">
      <c r="A42" s="131" t="s">
        <v>122</v>
      </c>
      <c r="B42" s="35"/>
      <c r="C42" s="26"/>
      <c r="D42" s="35">
        <f>'Tax Calc_CFL'!C19</f>
        <v>0</v>
      </c>
      <c r="E42" s="35">
        <f>'Tax Calc_CFL'!D19</f>
        <v>37.799501778882799</v>
      </c>
      <c r="F42" s="35">
        <f>'Tax Calc_CFL'!E19</f>
        <v>305.02623607351973</v>
      </c>
      <c r="G42" s="35">
        <f>'Tax Calc_CFL'!F19</f>
        <v>349.16284476549214</v>
      </c>
      <c r="H42" s="35">
        <f>'Tax Calc_CFL'!G19</f>
        <v>354.29221018237064</v>
      </c>
      <c r="I42" s="35">
        <f>'Tax Calc_CFL'!H19</f>
        <v>356.95029187747787</v>
      </c>
      <c r="J42" s="35">
        <f>'Tax Calc_CFL'!I19</f>
        <v>357.06938746386874</v>
      </c>
      <c r="K42" s="35">
        <f>'Tax Calc_CFL'!J19</f>
        <v>350.42976685303279</v>
      </c>
      <c r="L42" s="35">
        <f>'Tax Calc_CFL'!K19</f>
        <v>338.85955766555958</v>
      </c>
      <c r="M42" s="35">
        <f>'Tax Calc_CFL'!L19</f>
        <v>324.10417063341146</v>
      </c>
      <c r="N42" s="35">
        <f>'Tax Calc_CFL'!M19</f>
        <v>305.77518081044929</v>
      </c>
      <c r="O42" s="35">
        <f>'Tax Calc_CFL'!N19</f>
        <v>283.37831227540244</v>
      </c>
      <c r="P42" s="35">
        <f>'Tax Calc_CFL'!O19</f>
        <v>256.29702367682575</v>
      </c>
      <c r="Q42" s="35">
        <f>'Tax Calc_CFL'!P19</f>
        <v>223.77215635412054</v>
      </c>
      <c r="R42" s="35">
        <f>'Tax Calc_CFL'!Q19</f>
        <v>184.87695941679075</v>
      </c>
      <c r="S42" s="35">
        <f>'Tax Calc_CFL'!R19</f>
        <v>138.48665426770864</v>
      </c>
      <c r="T42" s="35">
        <f>'Tax Calc_CFL'!S19</f>
        <v>83.241521029226476</v>
      </c>
      <c r="U42" s="35">
        <f>'Tax Calc_CFL'!T19</f>
        <v>17.502275214948057</v>
      </c>
      <c r="V42" s="35">
        <f>'Tax Calc_CFL'!U19</f>
        <v>0</v>
      </c>
      <c r="W42" s="35">
        <f>'Tax Calc_CFL'!V19</f>
        <v>0</v>
      </c>
      <c r="X42" s="35">
        <f>'Tax Calc_CFL'!W19</f>
        <v>0</v>
      </c>
    </row>
    <row r="43" spans="1:24">
      <c r="A43" s="131" t="s">
        <v>125</v>
      </c>
      <c r="B43" s="35"/>
      <c r="C43" s="26"/>
      <c r="D43" s="35">
        <f>D41-D42</f>
        <v>-22.863959011420874</v>
      </c>
      <c r="E43" s="35">
        <f t="shared" ref="E43:W43" si="20">E41-E42</f>
        <v>295.8236383701269</v>
      </c>
      <c r="F43" s="35">
        <f t="shared" si="20"/>
        <v>692.52678909377573</v>
      </c>
      <c r="G43" s="35">
        <f t="shared" si="20"/>
        <v>750.92262263838893</v>
      </c>
      <c r="H43" s="35">
        <f t="shared" si="20"/>
        <v>737.52519880193131</v>
      </c>
      <c r="I43" s="35">
        <f t="shared" si="20"/>
        <v>722.70855729981531</v>
      </c>
      <c r="J43" s="35">
        <f t="shared" si="20"/>
        <v>705.8465706134682</v>
      </c>
      <c r="K43" s="35">
        <f t="shared" si="20"/>
        <v>678.32265985385175</v>
      </c>
      <c r="L43" s="35">
        <f t="shared" si="20"/>
        <v>643.32757807803853</v>
      </c>
      <c r="M43" s="35">
        <f t="shared" si="20"/>
        <v>603.94436870156142</v>
      </c>
      <c r="N43" s="35">
        <f t="shared" si="20"/>
        <v>559.15716782405821</v>
      </c>
      <c r="O43" s="35">
        <f t="shared" si="20"/>
        <v>507.78296182364579</v>
      </c>
      <c r="P43" s="35">
        <f t="shared" si="20"/>
        <v>448.43402837231696</v>
      </c>
      <c r="Q43" s="35">
        <f t="shared" si="20"/>
        <v>379.47357490693514</v>
      </c>
      <c r="R43" s="35">
        <f t="shared" si="20"/>
        <v>298.9631172544232</v>
      </c>
      <c r="S43" s="35">
        <f t="shared" si="20"/>
        <v>204.5998649098722</v>
      </c>
      <c r="T43" s="35">
        <f t="shared" si="20"/>
        <v>93.642045825452357</v>
      </c>
      <c r="U43" s="35">
        <f t="shared" si="20"/>
        <v>-37.180298664790797</v>
      </c>
      <c r="V43" s="35">
        <f t="shared" si="20"/>
        <v>-252.47575473012677</v>
      </c>
      <c r="W43" s="35">
        <f t="shared" si="20"/>
        <v>-470.0737492368313</v>
      </c>
      <c r="X43" s="35">
        <f>X41-X42</f>
        <v>-1926.8226153056742</v>
      </c>
    </row>
    <row r="44" spans="1:24">
      <c r="A44" s="131" t="s">
        <v>124</v>
      </c>
      <c r="B44" s="35"/>
      <c r="C44" s="26">
        <f>-'Assum-CFL'!C12</f>
        <v>-2257.3788</v>
      </c>
      <c r="D44" s="35">
        <f t="shared" ref="D44:W44" ca="1" si="21">D43+D23+D24+D27+D51</f>
        <v>165.56661333333341</v>
      </c>
      <c r="E44" s="35">
        <f t="shared" ca="1" si="21"/>
        <v>501.97263422111735</v>
      </c>
      <c r="F44" s="35">
        <f t="shared" ca="1" si="21"/>
        <v>899.87242712648049</v>
      </c>
      <c r="G44" s="35">
        <f t="shared" ca="1" si="21"/>
        <v>943.97389607450793</v>
      </c>
      <c r="H44" s="35">
        <f t="shared" ca="1" si="21"/>
        <v>912.73405707562961</v>
      </c>
      <c r="I44" s="35">
        <f t="shared" ca="1" si="21"/>
        <v>880.10158399462205</v>
      </c>
      <c r="J44" s="35">
        <f t="shared" ca="1" si="21"/>
        <v>845.45527650327654</v>
      </c>
      <c r="K44" s="35">
        <f t="shared" ca="1" si="21"/>
        <v>812.19397267419743</v>
      </c>
      <c r="L44" s="35">
        <f t="shared" ca="1" si="21"/>
        <v>777.51071499210605</v>
      </c>
      <c r="M44" s="35">
        <f t="shared" ca="1" si="21"/>
        <v>738.49222509402557</v>
      </c>
      <c r="N44" s="35">
        <f t="shared" ca="1" si="21"/>
        <v>694.13274468482564</v>
      </c>
      <c r="O44" s="35">
        <f t="shared" ca="1" si="21"/>
        <v>643.26136319531554</v>
      </c>
      <c r="P44" s="35">
        <f t="shared" ca="1" si="21"/>
        <v>584.50485710345504</v>
      </c>
      <c r="Q44" s="35">
        <f t="shared" ca="1" si="21"/>
        <v>516.24380631313988</v>
      </c>
      <c r="R44" s="35">
        <f t="shared" ca="1" si="21"/>
        <v>436.56054620659791</v>
      </c>
      <c r="S44" s="35">
        <f t="shared" ca="1" si="21"/>
        <v>343.17724096989537</v>
      </c>
      <c r="T44" s="35">
        <f t="shared" ca="1" si="21"/>
        <v>233.38203397021223</v>
      </c>
      <c r="U44" s="35">
        <f ca="1">U43+U23+U24+U27+U51+'Prj Cost-CFL'!C14</f>
        <v>433.95022200807068</v>
      </c>
      <c r="V44" s="35">
        <f t="shared" ca="1" si="21"/>
        <v>-109.71194034913685</v>
      </c>
      <c r="W44" s="35">
        <f t="shared" ca="1" si="21"/>
        <v>-383.8282980987625</v>
      </c>
      <c r="X44" s="35">
        <f ca="1">X43+X23+X24+X27+X51+'Prj Cost-CFL'!C14</f>
        <v>-1810.6472878046843</v>
      </c>
    </row>
    <row r="45" spans="1:24">
      <c r="A45" s="131"/>
      <c r="B45" s="35"/>
      <c r="C45" s="26">
        <f>C44</f>
        <v>-2257.3788</v>
      </c>
      <c r="D45" s="35">
        <f ca="1">IF(D44&gt;0,D44,0)</f>
        <v>165.56661333333341</v>
      </c>
      <c r="E45" s="35">
        <f t="shared" ref="E45:X45" ca="1" si="22">IF(E44&gt;0,E44,0)</f>
        <v>501.97263422111735</v>
      </c>
      <c r="F45" s="35">
        <f t="shared" ca="1" si="22"/>
        <v>899.87242712648049</v>
      </c>
      <c r="G45" s="35">
        <f t="shared" ca="1" si="22"/>
        <v>943.97389607450793</v>
      </c>
      <c r="H45" s="35">
        <f t="shared" ca="1" si="22"/>
        <v>912.73405707562961</v>
      </c>
      <c r="I45" s="35">
        <f t="shared" ca="1" si="22"/>
        <v>880.10158399462205</v>
      </c>
      <c r="J45" s="35">
        <f t="shared" ca="1" si="22"/>
        <v>845.45527650327654</v>
      </c>
      <c r="K45" s="35">
        <f t="shared" ca="1" si="22"/>
        <v>812.19397267419743</v>
      </c>
      <c r="L45" s="35">
        <f t="shared" ca="1" si="22"/>
        <v>777.51071499210605</v>
      </c>
      <c r="M45" s="35">
        <f t="shared" ca="1" si="22"/>
        <v>738.49222509402557</v>
      </c>
      <c r="N45" s="35">
        <f t="shared" ca="1" si="22"/>
        <v>694.13274468482564</v>
      </c>
      <c r="O45" s="35">
        <f t="shared" ca="1" si="22"/>
        <v>643.26136319531554</v>
      </c>
      <c r="P45" s="35">
        <f t="shared" ca="1" si="22"/>
        <v>584.50485710345504</v>
      </c>
      <c r="Q45" s="35">
        <f t="shared" ca="1" si="22"/>
        <v>516.24380631313988</v>
      </c>
      <c r="R45" s="35">
        <f t="shared" ca="1" si="22"/>
        <v>436.56054620659791</v>
      </c>
      <c r="S45" s="35">
        <f t="shared" ca="1" si="22"/>
        <v>343.17724096989537</v>
      </c>
      <c r="T45" s="35">
        <f t="shared" ca="1" si="22"/>
        <v>233.38203397021223</v>
      </c>
      <c r="U45" s="35">
        <f ca="1">IF(U44&gt;0,U44,0)</f>
        <v>433.95022200807068</v>
      </c>
      <c r="V45" s="35">
        <f t="shared" ca="1" si="22"/>
        <v>0</v>
      </c>
      <c r="W45" s="35">
        <f t="shared" ca="1" si="22"/>
        <v>0</v>
      </c>
      <c r="X45" s="35">
        <f t="shared" ca="1" si="22"/>
        <v>0</v>
      </c>
    </row>
    <row r="46" spans="1:24">
      <c r="A46" s="52"/>
      <c r="B46" s="89" t="s">
        <v>126</v>
      </c>
      <c r="C46" s="90">
        <f ca="1">IRR(C45:U45)</f>
        <v>0.27768510557171422</v>
      </c>
      <c r="D46" s="26"/>
      <c r="E46" s="26"/>
      <c r="F46" s="26"/>
      <c r="G46" s="26"/>
      <c r="H46" s="26"/>
      <c r="I46" s="26"/>
      <c r="J46" s="26"/>
      <c r="K46" s="26"/>
      <c r="L46" s="26"/>
      <c r="M46" s="26"/>
      <c r="N46" s="26"/>
      <c r="O46" s="26"/>
      <c r="P46" s="26"/>
      <c r="Q46" s="26"/>
      <c r="R46" s="26"/>
      <c r="S46" s="26"/>
      <c r="T46" s="26"/>
      <c r="U46" s="26"/>
      <c r="V46" s="26"/>
      <c r="W46" s="26"/>
      <c r="X46" s="26"/>
    </row>
    <row r="47" spans="1:24">
      <c r="C47" s="28"/>
    </row>
    <row r="48" spans="1:24" ht="15">
      <c r="A48" s="88" t="s">
        <v>238</v>
      </c>
    </row>
    <row r="49" spans="3:24">
      <c r="D49" s="11">
        <f ca="1">IF(E44&lt;0,'Depreciation-CFL'!E55,0)</f>
        <v>0</v>
      </c>
      <c r="E49" s="11">
        <f ca="1">IF(F44&lt;0,'Depreciation-CFL'!F55,0)</f>
        <v>0</v>
      </c>
      <c r="F49" s="11">
        <f ca="1">IF(G44&lt;0,'Depreciation-CFL'!G55,0)</f>
        <v>0</v>
      </c>
      <c r="G49" s="11">
        <f ca="1">IF(H44&lt;0,'Depreciation-CFL'!H55,0)</f>
        <v>0</v>
      </c>
      <c r="H49" s="11">
        <f ca="1">IF(I44&lt;0,'Depreciation-CFL'!I55,0)</f>
        <v>0</v>
      </c>
      <c r="I49" s="11">
        <f ca="1">IF(J44&lt;0,'Depreciation-CFL'!J55,0)</f>
        <v>0</v>
      </c>
      <c r="J49" s="11">
        <f ca="1">IF(K44&lt;0,'Depreciation-CFL'!K55,0)</f>
        <v>0</v>
      </c>
      <c r="K49" s="11">
        <f ca="1">IF(L44&lt;0,'Depreciation-CFL'!L55,0)</f>
        <v>0</v>
      </c>
      <c r="L49" s="11">
        <f ca="1">IF(M44&lt;0,'Depreciation-CFL'!M55,0)</f>
        <v>0</v>
      </c>
      <c r="M49" s="11">
        <f ca="1">IF(N44&lt;0,'Depreciation-CFL'!N55,0)</f>
        <v>0</v>
      </c>
      <c r="N49" s="11">
        <f ca="1">IF(O44&lt;0,'Depreciation-CFL'!O55,0)</f>
        <v>0</v>
      </c>
      <c r="O49" s="11">
        <f ca="1">IF(P44&lt;0,'Depreciation-CFL'!P55,0)</f>
        <v>0</v>
      </c>
      <c r="P49" s="11">
        <f ca="1">IF(Q44&lt;0,'Depreciation-CFL'!Q55,0)</f>
        <v>0</v>
      </c>
      <c r="Q49" s="11">
        <f ca="1">IF(R44&lt;0,'Depreciation-CFL'!R55,0)</f>
        <v>0</v>
      </c>
      <c r="R49" s="11">
        <f ca="1">IF(S44&lt;0,'Depreciation-CFL'!S55,0)</f>
        <v>0</v>
      </c>
      <c r="S49" s="11">
        <f ca="1">IF(T44&lt;0,'Depreciation-CFL'!T55,0)</f>
        <v>0</v>
      </c>
      <c r="T49" s="11">
        <f ca="1">IF(U44&lt;0,'Depreciation-CFL'!U55,0)</f>
        <v>0</v>
      </c>
      <c r="U49" s="11">
        <f ca="1">IF(V44&lt;0,'Depreciation-CFL'!V55,0)</f>
        <v>240.69938869333285</v>
      </c>
      <c r="V49" s="11">
        <f ca="1">IF(W44&lt;0,'Depreciation-CFL'!W55,0)</f>
        <v>149.55998805333286</v>
      </c>
      <c r="W49" s="11">
        <f ca="1">IF(X44&lt;0,'Depreciation-CFL'!X55,0)</f>
        <v>116.45945333333333</v>
      </c>
      <c r="X49" s="11">
        <f>IF(Y44&lt;0,'Depreciation-CFL'!Y55,0)</f>
        <v>0</v>
      </c>
    </row>
    <row r="50" spans="3:24">
      <c r="C50" s="92"/>
      <c r="D50" s="11">
        <f ca="1">D49</f>
        <v>0</v>
      </c>
      <c r="E50" s="11">
        <f ca="1">D50+E49</f>
        <v>0</v>
      </c>
      <c r="F50" s="11">
        <f t="shared" ref="F50:X50" ca="1" si="23">E50+F49</f>
        <v>0</v>
      </c>
      <c r="G50" s="11">
        <f t="shared" ca="1" si="23"/>
        <v>0</v>
      </c>
      <c r="H50" s="11">
        <f t="shared" ca="1" si="23"/>
        <v>0</v>
      </c>
      <c r="I50" s="11">
        <f t="shared" ca="1" si="23"/>
        <v>0</v>
      </c>
      <c r="J50" s="11">
        <f t="shared" ca="1" si="23"/>
        <v>0</v>
      </c>
      <c r="K50" s="11">
        <f t="shared" ca="1" si="23"/>
        <v>0</v>
      </c>
      <c r="L50" s="11">
        <f t="shared" ca="1" si="23"/>
        <v>0</v>
      </c>
      <c r="M50" s="11">
        <f t="shared" ca="1" si="23"/>
        <v>0</v>
      </c>
      <c r="N50" s="11">
        <f t="shared" ref="N50:T50" ca="1" si="24">M50+N49</f>
        <v>0</v>
      </c>
      <c r="O50" s="11">
        <f t="shared" ca="1" si="24"/>
        <v>0</v>
      </c>
      <c r="P50" s="11">
        <f t="shared" ca="1" si="24"/>
        <v>0</v>
      </c>
      <c r="Q50" s="11">
        <f t="shared" ca="1" si="24"/>
        <v>0</v>
      </c>
      <c r="R50" s="11">
        <f t="shared" ca="1" si="24"/>
        <v>0</v>
      </c>
      <c r="S50" s="11">
        <f t="shared" ca="1" si="24"/>
        <v>0</v>
      </c>
      <c r="T50" s="11">
        <f t="shared" ca="1" si="24"/>
        <v>0</v>
      </c>
      <c r="U50" s="11">
        <f t="shared" ca="1" si="23"/>
        <v>240.69938869333285</v>
      </c>
      <c r="V50" s="11">
        <f t="shared" ca="1" si="23"/>
        <v>390.25937674666568</v>
      </c>
      <c r="W50" s="11">
        <f t="shared" ca="1" si="23"/>
        <v>506.71883007999901</v>
      </c>
      <c r="X50" s="11">
        <f t="shared" ca="1" si="23"/>
        <v>506.71883007999901</v>
      </c>
    </row>
    <row r="51" spans="3:24">
      <c r="D51" s="11">
        <f t="shared" ref="D51:X51" ca="1" si="25">IF(AND(C50&lt;&gt;0,D50&gt;C50),0,D49)</f>
        <v>0</v>
      </c>
      <c r="E51" s="11">
        <f t="shared" ca="1" si="25"/>
        <v>0</v>
      </c>
      <c r="F51" s="11">
        <f t="shared" ca="1" si="25"/>
        <v>0</v>
      </c>
      <c r="G51" s="11">
        <f t="shared" ca="1" si="25"/>
        <v>0</v>
      </c>
      <c r="H51" s="11">
        <f t="shared" ca="1" si="25"/>
        <v>0</v>
      </c>
      <c r="I51" s="11">
        <f t="shared" ca="1" si="25"/>
        <v>0</v>
      </c>
      <c r="J51" s="11">
        <f t="shared" ca="1" si="25"/>
        <v>0</v>
      </c>
      <c r="K51" s="11">
        <f t="shared" ca="1" si="25"/>
        <v>0</v>
      </c>
      <c r="L51" s="11">
        <f t="shared" ca="1" si="25"/>
        <v>0</v>
      </c>
      <c r="M51" s="11">
        <f t="shared" ca="1" si="25"/>
        <v>0</v>
      </c>
      <c r="N51" s="11">
        <f t="shared" ca="1" si="25"/>
        <v>0</v>
      </c>
      <c r="O51" s="11">
        <f t="shared" ca="1" si="25"/>
        <v>0</v>
      </c>
      <c r="P51" s="11">
        <f t="shared" ca="1" si="25"/>
        <v>0</v>
      </c>
      <c r="Q51" s="11">
        <f t="shared" ca="1" si="25"/>
        <v>0</v>
      </c>
      <c r="R51" s="11">
        <f t="shared" ca="1" si="25"/>
        <v>0</v>
      </c>
      <c r="S51" s="11">
        <f t="shared" ca="1" si="25"/>
        <v>0</v>
      </c>
      <c r="T51" s="11">
        <f t="shared" ca="1" si="25"/>
        <v>0</v>
      </c>
      <c r="U51" s="11">
        <f t="shared" ca="1" si="25"/>
        <v>240.69938869333285</v>
      </c>
      <c r="V51" s="11">
        <f t="shared" ca="1" si="25"/>
        <v>0</v>
      </c>
      <c r="W51" s="11">
        <f t="shared" ca="1" si="25"/>
        <v>0</v>
      </c>
      <c r="X51" s="11">
        <f t="shared" ca="1" si="25"/>
        <v>0</v>
      </c>
    </row>
  </sheetData>
  <phoneticPr fontId="0" type="noConversion"/>
  <pageMargins left="0" right="0" top="0" bottom="0" header="0" footer="0"/>
  <pageSetup scale="53" orientation="landscape" r:id="rId1"/>
  <headerFooter alignWithMargins="0"/>
  <ignoredErrors>
    <ignoredError sqref="G13" formula="1"/>
  </ignoredErrors>
  <legacyDrawing r:id="rId2"/>
</worksheet>
</file>

<file path=xl/worksheets/sheet7.xml><?xml version="1.0" encoding="utf-8"?>
<worksheet xmlns="http://schemas.openxmlformats.org/spreadsheetml/2006/main" xmlns:r="http://schemas.openxmlformats.org/officeDocument/2006/relationships">
  <sheetPr>
    <tabColor rgb="FF92D050"/>
  </sheetPr>
  <dimension ref="B2:W21"/>
  <sheetViews>
    <sheetView showGridLines="0" workbookViewId="0">
      <selection activeCell="E29" sqref="E29"/>
    </sheetView>
  </sheetViews>
  <sheetFormatPr defaultRowHeight="13.5"/>
  <cols>
    <col min="1" max="1" width="9.140625" style="4"/>
    <col min="2" max="2" width="35.5703125" style="4" bestFit="1" customWidth="1"/>
    <col min="3" max="3" width="7.42578125" style="4" bestFit="1" customWidth="1"/>
    <col min="4" max="5" width="8.42578125" style="4" customWidth="1"/>
    <col min="6" max="7" width="8.42578125" style="4" bestFit="1" customWidth="1"/>
    <col min="8" max="13" width="9.42578125" style="4" bestFit="1" customWidth="1"/>
    <col min="14" max="14" width="9.42578125" style="4" customWidth="1"/>
    <col min="15" max="15" width="9.42578125" style="4" bestFit="1" customWidth="1"/>
    <col min="16" max="16" width="9.42578125" style="4" customWidth="1"/>
    <col min="17" max="23" width="9.42578125" style="4" bestFit="1" customWidth="1"/>
    <col min="24" max="16384" width="9.140625" style="4"/>
  </cols>
  <sheetData>
    <row r="2" spans="2:23" ht="26.25">
      <c r="B2" s="195" t="s">
        <v>130</v>
      </c>
      <c r="C2" s="196"/>
      <c r="D2" s="196"/>
      <c r="E2" s="196"/>
      <c r="F2" s="196"/>
      <c r="G2" s="196"/>
      <c r="H2" s="196"/>
      <c r="I2" s="197"/>
    </row>
    <row r="3" spans="2:23" ht="15">
      <c r="B3" s="1" t="s">
        <v>131</v>
      </c>
      <c r="C3" s="21" t="s">
        <v>2</v>
      </c>
      <c r="D3" s="21" t="s">
        <v>3</v>
      </c>
      <c r="E3" s="21" t="s">
        <v>4</v>
      </c>
      <c r="F3" s="21" t="s">
        <v>5</v>
      </c>
      <c r="G3" s="21" t="s">
        <v>6</v>
      </c>
      <c r="H3" s="21" t="s">
        <v>7</v>
      </c>
      <c r="I3" s="21" t="s">
        <v>8</v>
      </c>
      <c r="J3" s="21" t="s">
        <v>9</v>
      </c>
      <c r="K3" s="21" t="s">
        <v>10</v>
      </c>
      <c r="L3" s="21" t="s">
        <v>11</v>
      </c>
      <c r="M3" s="21" t="s">
        <v>12</v>
      </c>
      <c r="N3" s="21" t="s">
        <v>13</v>
      </c>
      <c r="O3" s="21" t="s">
        <v>14</v>
      </c>
      <c r="P3" s="21" t="s">
        <v>15</v>
      </c>
      <c r="Q3" s="21" t="s">
        <v>16</v>
      </c>
      <c r="R3" s="21" t="s">
        <v>17</v>
      </c>
      <c r="S3" s="21" t="s">
        <v>18</v>
      </c>
      <c r="T3" s="21" t="s">
        <v>19</v>
      </c>
      <c r="U3" s="21" t="s">
        <v>20</v>
      </c>
      <c r="V3" s="21" t="s">
        <v>21</v>
      </c>
      <c r="W3" s="21" t="s">
        <v>234</v>
      </c>
    </row>
    <row r="4" spans="2:23">
      <c r="B4" s="2" t="s">
        <v>132</v>
      </c>
      <c r="C4" s="2">
        <f>'P&amp;L-CFL CDM'!D39</f>
        <v>4950.4819543288986</v>
      </c>
      <c r="D4" s="2">
        <f>'P&amp;L-CFL CDM'!E39</f>
        <v>11523.651445164729</v>
      </c>
      <c r="E4" s="2">
        <f>'P&amp;L-CFL CDM'!F39</f>
        <v>20393.60208719454</v>
      </c>
      <c r="F4" s="2">
        <f>'P&amp;L-CFL CDM'!G39</f>
        <v>21988.138303433225</v>
      </c>
      <c r="G4" s="2">
        <f>'P&amp;L-CFL CDM'!H39</f>
        <v>21979.870245013648</v>
      </c>
      <c r="H4" s="2">
        <f>'P&amp;L-CFL CDM'!I39</f>
        <v>21967.711685206636</v>
      </c>
      <c r="I4" s="2">
        <f>'P&amp;L-CFL CDM'!J39</f>
        <v>21950.96879410668</v>
      </c>
      <c r="J4" s="2">
        <f>'P&amp;L-CFL CDM'!K39</f>
        <v>21916.805262736227</v>
      </c>
      <c r="K4" s="2">
        <f>'P&amp;L-CFL CDM'!L39</f>
        <v>21870.239971772942</v>
      </c>
      <c r="L4" s="2">
        <f>'P&amp;L-CFL CDM'!M39</f>
        <v>21816.101375364316</v>
      </c>
      <c r="M4" s="2">
        <f>'P&amp;L-CFL CDM'!N39</f>
        <v>21752.985184663848</v>
      </c>
      <c r="N4" s="2">
        <f>'P&amp;L-CFL CDM'!O39</f>
        <v>21679.214110128392</v>
      </c>
      <c r="O4" s="2">
        <f>'P&amp;L-CFL CDM'!P39</f>
        <v>21592.783888078488</v>
      </c>
      <c r="P4" s="2">
        <f>'P&amp;L-CFL CDM'!Q39</f>
        <v>21491.2985672904</v>
      </c>
      <c r="Q4" s="2">
        <f>'P&amp;L-CFL CDM'!R39</f>
        <v>21371.892912700558</v>
      </c>
      <c r="R4" s="2">
        <f>'P&amp;L-CFL CDM'!S39</f>
        <v>21231.139355206924</v>
      </c>
      <c r="S4" s="2">
        <f>'P&amp;L-CFL CDM'!T39</f>
        <v>21064.936402884025</v>
      </c>
      <c r="T4" s="2">
        <f>'P&amp;L-CFL CDM'!U39</f>
        <v>20868.374812579499</v>
      </c>
      <c r="U4" s="2">
        <f>'P&amp;L-CFL CDM'!V39</f>
        <v>20635.577081299216</v>
      </c>
      <c r="V4" s="2">
        <f>'P&amp;L-CFL CDM'!W39</f>
        <v>20417.979086792508</v>
      </c>
      <c r="W4" s="2">
        <f>'P&amp;L-CFL CDM'!X39</f>
        <v>5035.8616633707716</v>
      </c>
    </row>
    <row r="5" spans="2:23" ht="15">
      <c r="B5" s="1" t="s">
        <v>133</v>
      </c>
      <c r="C5" s="2"/>
      <c r="D5" s="2"/>
      <c r="E5" s="2"/>
      <c r="F5" s="2"/>
      <c r="G5" s="2"/>
      <c r="H5" s="2"/>
      <c r="I5" s="2"/>
      <c r="J5" s="2"/>
      <c r="K5" s="2"/>
      <c r="L5" s="2"/>
      <c r="M5" s="2"/>
      <c r="N5" s="2"/>
      <c r="O5" s="2"/>
      <c r="P5" s="2"/>
      <c r="Q5" s="2"/>
      <c r="R5" s="2"/>
      <c r="S5" s="2"/>
      <c r="T5" s="2"/>
      <c r="U5" s="2"/>
      <c r="V5" s="2"/>
      <c r="W5" s="2"/>
    </row>
    <row r="6" spans="2:23" s="22" customFormat="1">
      <c r="B6" s="11" t="s">
        <v>50</v>
      </c>
      <c r="C6" s="11">
        <f>'Tax Calc_CFL'!C8</f>
        <v>60.759600426666658</v>
      </c>
      <c r="D6" s="11">
        <f>'Tax Calc_CFL'!D8</f>
        <v>91.139400639999991</v>
      </c>
      <c r="E6" s="11">
        <f>'Tax Calc_CFL'!E8</f>
        <v>91.139400639999991</v>
      </c>
      <c r="F6" s="11">
        <f>'Tax Calc_CFL'!F8</f>
        <v>91.139400639999991</v>
      </c>
      <c r="G6" s="11">
        <f>'Tax Calc_CFL'!G8</f>
        <v>91.139400639999991</v>
      </c>
      <c r="H6" s="11">
        <f>'Tax Calc_CFL'!H8</f>
        <v>91.139400639999991</v>
      </c>
      <c r="I6" s="11">
        <f>'Tax Calc_CFL'!I8</f>
        <v>91.139400639999991</v>
      </c>
      <c r="J6" s="11">
        <f>'Tax Calc_CFL'!J8</f>
        <v>91.139400639999991</v>
      </c>
      <c r="K6" s="11">
        <f>'Tax Calc_CFL'!K8</f>
        <v>91.139400639999991</v>
      </c>
      <c r="L6" s="11">
        <f>'Tax Calc_CFL'!L8</f>
        <v>91.139400639999991</v>
      </c>
      <c r="M6" s="11">
        <f>'Tax Calc_CFL'!M8</f>
        <v>91.139400639999991</v>
      </c>
      <c r="N6" s="11">
        <f>'Tax Calc_CFL'!N8</f>
        <v>91.139400639999991</v>
      </c>
      <c r="O6" s="11">
        <f>'Tax Calc_CFL'!O8</f>
        <v>91.139400639999991</v>
      </c>
      <c r="P6" s="11">
        <f>'Tax Calc_CFL'!P8</f>
        <v>91.139400639999991</v>
      </c>
      <c r="Q6" s="11">
        <f>'Tax Calc_CFL'!Q8</f>
        <v>91.139400639999991</v>
      </c>
      <c r="R6" s="11">
        <f>'Tax Calc_CFL'!R8</f>
        <v>91.139400639999991</v>
      </c>
      <c r="S6" s="11">
        <f>'Tax Calc_CFL'!S8</f>
        <v>91.139400639999991</v>
      </c>
      <c r="T6" s="11">
        <f>'Tax Calc_CFL'!T8</f>
        <v>91.139400639999991</v>
      </c>
      <c r="U6" s="11">
        <f>'Tax Calc_CFL'!U8</f>
        <v>91.139400639999991</v>
      </c>
      <c r="V6" s="11">
        <f>'Tax Calc_CFL'!V8</f>
        <v>33.100534719999523</v>
      </c>
      <c r="W6" s="11">
        <f>'Tax Calc_CFL'!W8</f>
        <v>3.7786533333333328</v>
      </c>
    </row>
    <row r="7" spans="2:23" ht="15">
      <c r="B7" s="1" t="s">
        <v>30</v>
      </c>
      <c r="C7" s="11"/>
      <c r="D7" s="11"/>
      <c r="E7" s="11"/>
      <c r="F7" s="11"/>
      <c r="G7" s="11"/>
      <c r="H7" s="11"/>
      <c r="I7" s="11"/>
      <c r="J7" s="11"/>
      <c r="K7" s="11"/>
      <c r="L7" s="11"/>
      <c r="M7" s="11"/>
      <c r="N7" s="11"/>
      <c r="O7" s="11"/>
      <c r="P7" s="11"/>
      <c r="Q7" s="11"/>
      <c r="R7" s="11"/>
      <c r="S7" s="11"/>
      <c r="T7" s="11"/>
      <c r="U7" s="11"/>
      <c r="V7" s="11"/>
      <c r="W7" s="11"/>
    </row>
    <row r="8" spans="2:23">
      <c r="B8" s="2" t="s">
        <v>31</v>
      </c>
      <c r="C8" s="11">
        <f>'Tax Calc_CFL'!C10</f>
        <v>260.65431999999998</v>
      </c>
      <c r="D8" s="11">
        <f>'Tax Calc_CFL'!D10</f>
        <v>223.25317199999995</v>
      </c>
      <c r="E8" s="11">
        <f>'Tax Calc_CFL'!E10</f>
        <v>191.29249619999999</v>
      </c>
      <c r="F8" s="11">
        <f>'Tax Calc_CFL'!F10</f>
        <v>163.97319177</v>
      </c>
      <c r="G8" s="11">
        <f>'Tax Calc_CFL'!G10</f>
        <v>140.61432600450001</v>
      </c>
      <c r="H8" s="11">
        <f>'Tax Calc_CFL'!H10</f>
        <v>120.63557880382501</v>
      </c>
      <c r="I8" s="11">
        <f>'Tax Calc_CFL'!I10</f>
        <v>103.54230351325124</v>
      </c>
      <c r="J8" s="11">
        <f>'Tax Calc_CFL'!J10</f>
        <v>88.912813363263552</v>
      </c>
      <c r="K8" s="11">
        <f>'Tax Calc_CFL'!K10</f>
        <v>76.387561198074025</v>
      </c>
      <c r="L8" s="11">
        <f>'Tax Calc_CFL'!L10</f>
        <v>65.659929873732935</v>
      </c>
      <c r="M8" s="11">
        <f>'Tax Calc_CFL'!M10</f>
        <v>56.468392962505987</v>
      </c>
      <c r="N8" s="11">
        <f>'Tax Calc_CFL'!N10</f>
        <v>48.589841330979795</v>
      </c>
      <c r="O8" s="11">
        <f>'Tax Calc_CFL'!O10</f>
        <v>41.83390171289755</v>
      </c>
      <c r="P8" s="11">
        <f>'Tax Calc_CFL'!P10</f>
        <v>36.038099379371182</v>
      </c>
      <c r="Q8" s="11">
        <f>'Tax Calc_CFL'!Q10</f>
        <v>31.063739103532939</v>
      </c>
      <c r="R8" s="11">
        <f>'Tax Calc_CFL'!R10</f>
        <v>26.792397405963683</v>
      </c>
      <c r="S8" s="11">
        <f>'Tax Calc_CFL'!S10</f>
        <v>23.122935046233749</v>
      </c>
      <c r="T8" s="11">
        <f>'Tax Calc_CFL'!T10</f>
        <v>19.968952315346844</v>
      </c>
      <c r="U8" s="11">
        <f>'Tax Calc_CFL'!U10</f>
        <v>17.256621241488162</v>
      </c>
      <c r="V8" s="11">
        <f>'Tax Calc_CFL'!V10</f>
        <v>14.922838651363945</v>
      </c>
      <c r="W8" s="11">
        <f>'Tax Calc_CFL'!W10</f>
        <v>12.91365239014846</v>
      </c>
    </row>
    <row r="9" spans="2:23">
      <c r="B9" s="2"/>
      <c r="C9" s="2"/>
      <c r="D9" s="2"/>
      <c r="E9" s="2"/>
      <c r="F9" s="2"/>
      <c r="G9" s="2"/>
      <c r="H9" s="2"/>
      <c r="I9" s="2"/>
      <c r="J9" s="2"/>
      <c r="K9" s="2"/>
      <c r="L9" s="2"/>
      <c r="M9" s="2"/>
      <c r="N9" s="2"/>
      <c r="O9" s="2"/>
      <c r="P9" s="2"/>
      <c r="Q9" s="2"/>
      <c r="R9" s="2"/>
      <c r="S9" s="2"/>
      <c r="T9" s="2"/>
      <c r="U9" s="2"/>
      <c r="V9" s="2"/>
      <c r="W9" s="2"/>
    </row>
    <row r="10" spans="2:23">
      <c r="B10" s="2" t="s">
        <v>134</v>
      </c>
      <c r="C10" s="2">
        <f>C4+C6-C8</f>
        <v>4750.587234755566</v>
      </c>
      <c r="D10" s="2">
        <f t="shared" ref="D10:V10" si="0">D4+D6-D8</f>
        <v>11391.537673804729</v>
      </c>
      <c r="E10" s="2">
        <f t="shared" si="0"/>
        <v>20293.448991634541</v>
      </c>
      <c r="F10" s="2">
        <f t="shared" si="0"/>
        <v>21915.304512303224</v>
      </c>
      <c r="G10" s="2">
        <f t="shared" si="0"/>
        <v>21930.395319649149</v>
      </c>
      <c r="H10" s="2">
        <f t="shared" si="0"/>
        <v>21938.215507042813</v>
      </c>
      <c r="I10" s="2">
        <f t="shared" si="0"/>
        <v>21938.565891233429</v>
      </c>
      <c r="J10" s="2">
        <f t="shared" si="0"/>
        <v>21919.031850012965</v>
      </c>
      <c r="K10" s="2">
        <f t="shared" si="0"/>
        <v>21884.99181121487</v>
      </c>
      <c r="L10" s="2">
        <f t="shared" si="0"/>
        <v>21841.580846130582</v>
      </c>
      <c r="M10" s="2">
        <f t="shared" si="0"/>
        <v>21787.656192341343</v>
      </c>
      <c r="N10" s="2">
        <f t="shared" si="0"/>
        <v>21721.763669437412</v>
      </c>
      <c r="O10" s="2">
        <f t="shared" si="0"/>
        <v>21642.089387005592</v>
      </c>
      <c r="P10" s="2">
        <f t="shared" si="0"/>
        <v>21546.399868551031</v>
      </c>
      <c r="Q10" s="2">
        <f t="shared" si="0"/>
        <v>21431.968574237024</v>
      </c>
      <c r="R10" s="2">
        <f t="shared" si="0"/>
        <v>21295.486358440961</v>
      </c>
      <c r="S10" s="2">
        <f t="shared" si="0"/>
        <v>21132.952868477791</v>
      </c>
      <c r="T10" s="2">
        <f t="shared" si="0"/>
        <v>20939.545260904153</v>
      </c>
      <c r="U10" s="2">
        <f t="shared" si="0"/>
        <v>20709.459860697727</v>
      </c>
      <c r="V10" s="2">
        <f t="shared" si="0"/>
        <v>20436.156782861144</v>
      </c>
      <c r="W10" s="2">
        <f>W4+W6-W8</f>
        <v>5026.7266643139565</v>
      </c>
    </row>
    <row r="11" spans="2:23" s="22" customFormat="1">
      <c r="B11" s="11" t="s">
        <v>139</v>
      </c>
      <c r="C11" s="11">
        <f>C10</f>
        <v>4750.587234755566</v>
      </c>
      <c r="D11" s="11">
        <f>C11+D10</f>
        <v>16142.124908560294</v>
      </c>
      <c r="E11" s="11">
        <f t="shared" ref="E11:W11" si="1">D11+E10</f>
        <v>36435.573900194839</v>
      </c>
      <c r="F11" s="11">
        <f t="shared" si="1"/>
        <v>58350.878412498059</v>
      </c>
      <c r="G11" s="11">
        <f t="shared" si="1"/>
        <v>80281.273732147209</v>
      </c>
      <c r="H11" s="11">
        <f t="shared" si="1"/>
        <v>102219.48923919002</v>
      </c>
      <c r="I11" s="11">
        <f t="shared" si="1"/>
        <v>124158.05513042345</v>
      </c>
      <c r="J11" s="11">
        <f t="shared" si="1"/>
        <v>146077.0869804364</v>
      </c>
      <c r="K11" s="11">
        <f t="shared" si="1"/>
        <v>167962.07879165126</v>
      </c>
      <c r="L11" s="11">
        <f t="shared" si="1"/>
        <v>189803.65963778185</v>
      </c>
      <c r="M11" s="11">
        <f t="shared" si="1"/>
        <v>211591.3158301232</v>
      </c>
      <c r="N11" s="11">
        <f t="shared" si="1"/>
        <v>233313.07949956061</v>
      </c>
      <c r="O11" s="11">
        <f t="shared" si="1"/>
        <v>254955.16888656621</v>
      </c>
      <c r="P11" s="11">
        <f t="shared" si="1"/>
        <v>276501.56875511725</v>
      </c>
      <c r="Q11" s="11">
        <f t="shared" si="1"/>
        <v>297933.53732935427</v>
      </c>
      <c r="R11" s="11">
        <f t="shared" si="1"/>
        <v>319229.02368779521</v>
      </c>
      <c r="S11" s="11">
        <f t="shared" si="1"/>
        <v>340361.976556273</v>
      </c>
      <c r="T11" s="11">
        <f t="shared" si="1"/>
        <v>361301.52181717718</v>
      </c>
      <c r="U11" s="11">
        <f t="shared" si="1"/>
        <v>382010.98167787492</v>
      </c>
      <c r="V11" s="11">
        <f t="shared" si="1"/>
        <v>402447.13846073608</v>
      </c>
      <c r="W11" s="11">
        <f t="shared" si="1"/>
        <v>407473.86512505001</v>
      </c>
    </row>
    <row r="12" spans="2:23">
      <c r="B12" s="2"/>
      <c r="C12" s="2"/>
      <c r="D12" s="2"/>
      <c r="E12" s="2"/>
      <c r="F12" s="2"/>
      <c r="G12" s="2"/>
      <c r="H12" s="2"/>
      <c r="I12" s="2"/>
      <c r="J12" s="2"/>
      <c r="K12" s="2"/>
      <c r="L12" s="2"/>
      <c r="M12" s="2"/>
      <c r="N12" s="2"/>
      <c r="O12" s="2"/>
      <c r="P12" s="2"/>
      <c r="Q12" s="2"/>
      <c r="R12" s="2"/>
      <c r="S12" s="2"/>
      <c r="T12" s="2"/>
      <c r="U12" s="2"/>
      <c r="V12" s="2"/>
      <c r="W12" s="2"/>
    </row>
    <row r="13" spans="2:23">
      <c r="B13" s="2" t="s">
        <v>135</v>
      </c>
      <c r="C13" s="2">
        <f>IF(C11&lt;0,0,'Assum-CFL'!$C$64*C10)</f>
        <v>1614.7246010934168</v>
      </c>
      <c r="D13" s="2">
        <f>IF(D11&lt;0,0,'Assum-CFL'!$C$64*D10)</f>
        <v>3871.9836553262271</v>
      </c>
      <c r="E13" s="2">
        <f>IF(E11&lt;0,0,'Assum-CFL'!$C$64*E10)</f>
        <v>6897.7433122565799</v>
      </c>
      <c r="F13" s="2">
        <f>IF(F11&lt;0,0,'Assum-CFL'!$C$64*F10)</f>
        <v>7449.0120037318657</v>
      </c>
      <c r="G13" s="2">
        <f>IF(G11&lt;0,0,'Assum-CFL'!$C$64*G10)</f>
        <v>7454.1413691487451</v>
      </c>
      <c r="H13" s="2">
        <f>IF(H11&lt;0,0,'Assum-CFL'!$C$64*H10)</f>
        <v>7456.7994508438514</v>
      </c>
      <c r="I13" s="2">
        <f>IF(I11&lt;0,0,'Assum-CFL'!$C$64*I10)</f>
        <v>7456.9185464302418</v>
      </c>
      <c r="J13" s="2">
        <f>IF(J11&lt;0,0,'Assum-CFL'!$C$64*J10)</f>
        <v>7450.2789258194061</v>
      </c>
      <c r="K13" s="2">
        <f>IF(K11&lt;0,0,'Assum-CFL'!$C$64*K10)</f>
        <v>7438.7087166319334</v>
      </c>
      <c r="L13" s="2">
        <f>IF(L11&lt;0,0,'Assum-CFL'!$C$64*L10)</f>
        <v>7423.9533295997844</v>
      </c>
      <c r="M13" s="2">
        <f>IF(M11&lt;0,0,'Assum-CFL'!$C$64*M10)</f>
        <v>7405.6243397768221</v>
      </c>
      <c r="N13" s="2">
        <f>IF(N11&lt;0,0,'Assum-CFL'!$C$64*N10)</f>
        <v>7383.2274712417757</v>
      </c>
      <c r="O13" s="2">
        <f>IF(O11&lt;0,0,'Assum-CFL'!$C$64*O10)</f>
        <v>7356.1461826432005</v>
      </c>
      <c r="P13" s="2">
        <f>IF(P11&lt;0,0,'Assum-CFL'!$C$64*P10)</f>
        <v>7323.6213153204944</v>
      </c>
      <c r="Q13" s="2">
        <f>IF(Q11&lt;0,0,'Assum-CFL'!$C$64*Q10)</f>
        <v>7284.7261183831642</v>
      </c>
      <c r="R13" s="2">
        <f>IF(R11&lt;0,0,'Assum-CFL'!$C$64*R10)</f>
        <v>7238.3358132340827</v>
      </c>
      <c r="S13" s="2">
        <f>IF(S11&lt;0,0,'Assum-CFL'!$C$64*S10)</f>
        <v>7183.090679995601</v>
      </c>
      <c r="T13" s="2">
        <f>IF(T11&lt;0,0,'Assum-CFL'!$C$64*T10)</f>
        <v>7117.3514341813216</v>
      </c>
      <c r="U13" s="2">
        <f>IF(U11&lt;0,0,'Assum-CFL'!$C$64*U10)</f>
        <v>7039.1454066511569</v>
      </c>
      <c r="V13" s="2">
        <f>IF(V11&lt;0,0,'Assum-CFL'!$C$64*V10)</f>
        <v>6946.2496904945028</v>
      </c>
      <c r="W13" s="2">
        <f>IF(W11&lt;0,0,'Assum-CFL'!$C$64*W10)</f>
        <v>1708.5843932003138</v>
      </c>
    </row>
    <row r="14" spans="2:23">
      <c r="B14" s="2" t="s">
        <v>136</v>
      </c>
      <c r="C14" s="2">
        <f>IF(C4&lt;0,0,'Assum-CFL'!$C$65*C4)</f>
        <v>560.8896054254642</v>
      </c>
      <c r="D14" s="2">
        <f>IF(D4&lt;0,0,'Assum-CFL'!$C$65*D4)</f>
        <v>1305.6297087371638</v>
      </c>
      <c r="E14" s="2">
        <f>IF(E4&lt;0,0,'Assum-CFL'!$C$65*E4)</f>
        <v>2310.5951164791413</v>
      </c>
      <c r="F14" s="2">
        <f>IF(F4&lt;0,0,'Assum-CFL'!$C$65*F4)</f>
        <v>2491.2560697789845</v>
      </c>
      <c r="G14" s="2">
        <f>IF(G4&lt;0,0,'Assum-CFL'!$C$65*G4)</f>
        <v>2490.3192987600464</v>
      </c>
      <c r="H14" s="2">
        <f>IF(H4&lt;0,0,'Assum-CFL'!$C$65*H4)</f>
        <v>2488.9417339339116</v>
      </c>
      <c r="I14" s="2">
        <f>IF(I4&lt;0,0,'Assum-CFL'!$C$65*I4)</f>
        <v>2487.0447643722869</v>
      </c>
      <c r="J14" s="2">
        <f>IF(J4&lt;0,0,'Assum-CFL'!$C$65*J4)</f>
        <v>2483.1740362680143</v>
      </c>
      <c r="K14" s="2">
        <f>IF(K4&lt;0,0,'Assum-CFL'!$C$65*K4)</f>
        <v>2477.8981888018743</v>
      </c>
      <c r="L14" s="2">
        <f>IF(L4&lt;0,0,'Assum-CFL'!$C$65*L4)</f>
        <v>2471.7642858287768</v>
      </c>
      <c r="M14" s="2">
        <f>IF(M4&lt;0,0,'Assum-CFL'!$C$65*M4)</f>
        <v>2464.613221422414</v>
      </c>
      <c r="N14" s="2">
        <f>IF(N4&lt;0,0,'Assum-CFL'!$C$65*N4)</f>
        <v>2456.2549586775467</v>
      </c>
      <c r="O14" s="2">
        <f>IF(O4&lt;0,0,'Assum-CFL'!$C$65*O4)</f>
        <v>2446.4624145192925</v>
      </c>
      <c r="P14" s="2">
        <f>IF(P4&lt;0,0,'Assum-CFL'!$C$65*P4)</f>
        <v>2434.9641276740022</v>
      </c>
      <c r="Q14" s="2">
        <f>IF(Q4&lt;0,0,'Assum-CFL'!$C$65*Q4)</f>
        <v>2421.4354670089733</v>
      </c>
      <c r="R14" s="2">
        <f>IF(R4&lt;0,0,'Assum-CFL'!$C$65*R4)</f>
        <v>2405.4880889449446</v>
      </c>
      <c r="S14" s="2">
        <f>IF(S4&lt;0,0,'Assum-CFL'!$C$65*S4)</f>
        <v>2386.6572944467598</v>
      </c>
      <c r="T14" s="2">
        <f>IF(T4&lt;0,0,'Assum-CFL'!$C$65*T4)</f>
        <v>2364.3868662652571</v>
      </c>
      <c r="U14" s="2">
        <f>IF(U4&lt;0,0,'Assum-CFL'!$C$65*U4)</f>
        <v>2338.0108833112013</v>
      </c>
      <c r="V14" s="2">
        <f>IF(V4&lt;0,0,'Assum-CFL'!$C$65*V4)</f>
        <v>2313.3570305335911</v>
      </c>
      <c r="W14" s="2">
        <f>IF(W4&lt;0,0,'Assum-CFL'!$C$65*W4)</f>
        <v>570.5631264599084</v>
      </c>
    </row>
    <row r="15" spans="2:23">
      <c r="B15" s="2"/>
      <c r="C15" s="2"/>
      <c r="D15" s="2"/>
      <c r="E15" s="2"/>
      <c r="F15" s="2"/>
      <c r="G15" s="2"/>
      <c r="H15" s="2"/>
      <c r="I15" s="2"/>
      <c r="J15" s="2"/>
      <c r="K15" s="2"/>
      <c r="L15" s="2"/>
      <c r="M15" s="2"/>
      <c r="N15" s="2"/>
      <c r="O15" s="2"/>
      <c r="P15" s="2"/>
      <c r="Q15" s="2"/>
      <c r="R15" s="2"/>
      <c r="S15" s="2"/>
      <c r="T15" s="2"/>
      <c r="U15" s="2"/>
      <c r="V15" s="2"/>
      <c r="W15" s="2"/>
    </row>
    <row r="16" spans="2:23">
      <c r="B16" s="23" t="s">
        <v>137</v>
      </c>
      <c r="C16" s="2">
        <f>+IF(C13&gt;C14,C13,C14)</f>
        <v>1614.7246010934168</v>
      </c>
      <c r="D16" s="2">
        <f t="shared" ref="D16:V16" si="2">+IF(D13&gt;D14,D13,D14)</f>
        <v>3871.9836553262271</v>
      </c>
      <c r="E16" s="2">
        <f t="shared" si="2"/>
        <v>6897.7433122565799</v>
      </c>
      <c r="F16" s="2">
        <f t="shared" si="2"/>
        <v>7449.0120037318657</v>
      </c>
      <c r="G16" s="2">
        <f t="shared" si="2"/>
        <v>7454.1413691487451</v>
      </c>
      <c r="H16" s="2">
        <f t="shared" si="2"/>
        <v>7456.7994508438514</v>
      </c>
      <c r="I16" s="2">
        <f t="shared" si="2"/>
        <v>7456.9185464302418</v>
      </c>
      <c r="J16" s="2">
        <f t="shared" si="2"/>
        <v>7450.2789258194061</v>
      </c>
      <c r="K16" s="2">
        <f t="shared" si="2"/>
        <v>7438.7087166319334</v>
      </c>
      <c r="L16" s="2">
        <f t="shared" si="2"/>
        <v>7423.9533295997844</v>
      </c>
      <c r="M16" s="2">
        <f t="shared" si="2"/>
        <v>7405.6243397768221</v>
      </c>
      <c r="N16" s="2">
        <f t="shared" si="2"/>
        <v>7383.2274712417757</v>
      </c>
      <c r="O16" s="2">
        <f t="shared" si="2"/>
        <v>7356.1461826432005</v>
      </c>
      <c r="P16" s="2">
        <f t="shared" si="2"/>
        <v>7323.6213153204944</v>
      </c>
      <c r="Q16" s="2">
        <f t="shared" si="2"/>
        <v>7284.7261183831642</v>
      </c>
      <c r="R16" s="2">
        <f t="shared" si="2"/>
        <v>7238.3358132340827</v>
      </c>
      <c r="S16" s="2">
        <f t="shared" si="2"/>
        <v>7183.090679995601</v>
      </c>
      <c r="T16" s="2">
        <f t="shared" si="2"/>
        <v>7117.3514341813216</v>
      </c>
      <c r="U16" s="2">
        <f t="shared" si="2"/>
        <v>7039.1454066511569</v>
      </c>
      <c r="V16" s="2">
        <f t="shared" si="2"/>
        <v>6946.2496904945028</v>
      </c>
      <c r="W16" s="2">
        <f>+IF(W13&gt;W14,W13,W14)</f>
        <v>1708.5843932003138</v>
      </c>
    </row>
    <row r="17" spans="2:23">
      <c r="B17" s="2" t="s">
        <v>138</v>
      </c>
      <c r="C17" s="2">
        <f>+IF(C16&lt;0,0,C16)</f>
        <v>1614.7246010934168</v>
      </c>
      <c r="D17" s="2">
        <f t="shared" ref="D17:V17" si="3">+IF(D16&lt;0,0,D16)</f>
        <v>3871.9836553262271</v>
      </c>
      <c r="E17" s="2">
        <f t="shared" si="3"/>
        <v>6897.7433122565799</v>
      </c>
      <c r="F17" s="2">
        <f t="shared" si="3"/>
        <v>7449.0120037318657</v>
      </c>
      <c r="G17" s="2">
        <f t="shared" si="3"/>
        <v>7454.1413691487451</v>
      </c>
      <c r="H17" s="2">
        <f t="shared" si="3"/>
        <v>7456.7994508438514</v>
      </c>
      <c r="I17" s="2">
        <f t="shared" si="3"/>
        <v>7456.9185464302418</v>
      </c>
      <c r="J17" s="2">
        <f t="shared" si="3"/>
        <v>7450.2789258194061</v>
      </c>
      <c r="K17" s="2">
        <f t="shared" si="3"/>
        <v>7438.7087166319334</v>
      </c>
      <c r="L17" s="2">
        <f t="shared" si="3"/>
        <v>7423.9533295997844</v>
      </c>
      <c r="M17" s="2">
        <f t="shared" si="3"/>
        <v>7405.6243397768221</v>
      </c>
      <c r="N17" s="2">
        <f t="shared" si="3"/>
        <v>7383.2274712417757</v>
      </c>
      <c r="O17" s="2">
        <f t="shared" si="3"/>
        <v>7356.1461826432005</v>
      </c>
      <c r="P17" s="2">
        <f t="shared" si="3"/>
        <v>7323.6213153204944</v>
      </c>
      <c r="Q17" s="2">
        <f t="shared" si="3"/>
        <v>7284.7261183831642</v>
      </c>
      <c r="R17" s="2">
        <f t="shared" si="3"/>
        <v>7238.3358132340827</v>
      </c>
      <c r="S17" s="2">
        <f t="shared" si="3"/>
        <v>7183.090679995601</v>
      </c>
      <c r="T17" s="2">
        <f t="shared" si="3"/>
        <v>7117.3514341813216</v>
      </c>
      <c r="U17" s="2">
        <f t="shared" si="3"/>
        <v>7039.1454066511569</v>
      </c>
      <c r="V17" s="2">
        <f t="shared" si="3"/>
        <v>6946.2496904945028</v>
      </c>
      <c r="W17" s="2">
        <f>+IF(W16&lt;0,0,W16)</f>
        <v>1708.5843932003138</v>
      </c>
    </row>
    <row r="21" spans="2:23" ht="15">
      <c r="B21" s="5"/>
    </row>
  </sheetData>
  <mergeCells count="1">
    <mergeCell ref="B2:I2"/>
  </mergeCells>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92D050"/>
    <pageSetUpPr fitToPage="1"/>
  </sheetPr>
  <dimension ref="A2:AT63"/>
  <sheetViews>
    <sheetView zoomScale="60" zoomScaleNormal="60" workbookViewId="0"/>
  </sheetViews>
  <sheetFormatPr defaultRowHeight="13.5"/>
  <cols>
    <col min="1" max="1" width="45.28515625" style="27" bestFit="1" customWidth="1"/>
    <col min="2" max="2" width="11" style="27" bestFit="1" customWidth="1"/>
    <col min="3" max="3" width="11" style="27" customWidth="1"/>
    <col min="4" max="4" width="13.7109375" style="27" bestFit="1" customWidth="1"/>
    <col min="5" max="5" width="11.140625" style="27" customWidth="1"/>
    <col min="6" max="8" width="11.5703125" style="27" bestFit="1" customWidth="1"/>
    <col min="9" max="9" width="11.5703125" style="27" customWidth="1"/>
    <col min="10" max="10" width="11.5703125" style="27" bestFit="1" customWidth="1"/>
    <col min="11" max="11" width="12.85546875" style="27" customWidth="1"/>
    <col min="12" max="23" width="11.5703125" style="27" bestFit="1" customWidth="1"/>
    <col min="24" max="24" width="9.85546875" style="27" bestFit="1" customWidth="1"/>
    <col min="25" max="16384" width="9.140625" style="27"/>
  </cols>
  <sheetData>
    <row r="2" spans="1:24">
      <c r="A2" s="50" t="s">
        <v>106</v>
      </c>
      <c r="E2" s="9" t="s">
        <v>142</v>
      </c>
      <c r="F2" s="9"/>
      <c r="G2" s="9"/>
      <c r="H2" s="64">
        <f>'P&amp;L-CFL'!H6</f>
        <v>1</v>
      </c>
      <c r="I2" s="9"/>
      <c r="J2" s="9"/>
    </row>
    <row r="3" spans="1:24" ht="15.75">
      <c r="A3" s="51"/>
      <c r="E3" s="9" t="s">
        <v>141</v>
      </c>
      <c r="F3" s="9"/>
      <c r="G3" s="9"/>
      <c r="H3" s="64">
        <f>'P&amp;L-CFL'!H7</f>
        <v>0</v>
      </c>
      <c r="I3" s="9"/>
      <c r="J3" s="9"/>
    </row>
    <row r="4" spans="1:24" ht="15">
      <c r="E4" s="127" t="s">
        <v>112</v>
      </c>
      <c r="F4" s="127"/>
      <c r="G4" s="127"/>
      <c r="H4" s="161">
        <f>'P&amp;L-CFL'!H8</f>
        <v>144</v>
      </c>
      <c r="I4" s="127" t="s">
        <v>107</v>
      </c>
      <c r="J4" s="127"/>
      <c r="K4" s="48" t="s">
        <v>147</v>
      </c>
    </row>
    <row r="5" spans="1:24">
      <c r="A5" s="128" t="s">
        <v>22</v>
      </c>
      <c r="B5" s="9" t="s">
        <v>105</v>
      </c>
      <c r="C5" s="9"/>
      <c r="D5" s="70" t="s">
        <v>2</v>
      </c>
      <c r="E5" s="70" t="s">
        <v>3</v>
      </c>
      <c r="F5" s="70" t="s">
        <v>4</v>
      </c>
      <c r="G5" s="70" t="s">
        <v>5</v>
      </c>
      <c r="H5" s="70" t="s">
        <v>6</v>
      </c>
      <c r="I5" s="70" t="s">
        <v>7</v>
      </c>
      <c r="J5" s="70" t="s">
        <v>8</v>
      </c>
      <c r="K5" s="70" t="s">
        <v>9</v>
      </c>
      <c r="L5" s="70" t="s">
        <v>10</v>
      </c>
      <c r="M5" s="70" t="s">
        <v>11</v>
      </c>
      <c r="N5" s="70" t="s">
        <v>12</v>
      </c>
      <c r="O5" s="70" t="s">
        <v>13</v>
      </c>
      <c r="P5" s="70" t="s">
        <v>14</v>
      </c>
      <c r="Q5" s="70" t="s">
        <v>15</v>
      </c>
      <c r="R5" s="70" t="s">
        <v>16</v>
      </c>
      <c r="S5" s="70" t="s">
        <v>17</v>
      </c>
      <c r="T5" s="70" t="s">
        <v>18</v>
      </c>
      <c r="U5" s="70" t="s">
        <v>19</v>
      </c>
      <c r="V5" s="70" t="s">
        <v>20</v>
      </c>
      <c r="W5" s="70" t="s">
        <v>21</v>
      </c>
      <c r="X5" s="70" t="s">
        <v>234</v>
      </c>
    </row>
    <row r="6" spans="1:24">
      <c r="A6" s="35" t="s">
        <v>148</v>
      </c>
      <c r="B6" s="35"/>
      <c r="C6" s="35"/>
      <c r="D6" s="125">
        <f>'P&amp;L-CFL'!D10</f>
        <v>0.5</v>
      </c>
      <c r="E6" s="125">
        <f>'P&amp;L-CFL'!E10</f>
        <v>0.6</v>
      </c>
      <c r="F6" s="125">
        <f>'P&amp;L-CFL'!F10</f>
        <v>0.65</v>
      </c>
      <c r="G6" s="125">
        <f>'P&amp;L-CFL'!G10</f>
        <v>0.7</v>
      </c>
      <c r="H6" s="125">
        <f>'P&amp;L-CFL'!H10</f>
        <v>0.7</v>
      </c>
      <c r="I6" s="125">
        <f>'P&amp;L-CFL'!I10</f>
        <v>0.7</v>
      </c>
      <c r="J6" s="125">
        <f>'P&amp;L-CFL'!J10</f>
        <v>0.7</v>
      </c>
      <c r="K6" s="125">
        <f>'P&amp;L-CFL'!K10</f>
        <v>0.7</v>
      </c>
      <c r="L6" s="125">
        <f>'P&amp;L-CFL'!L10</f>
        <v>0.7</v>
      </c>
      <c r="M6" s="125">
        <f>'P&amp;L-CFL'!M10</f>
        <v>0.7</v>
      </c>
      <c r="N6" s="125">
        <f>'P&amp;L-CFL'!N10</f>
        <v>0.7</v>
      </c>
      <c r="O6" s="125">
        <f>'P&amp;L-CFL'!O10</f>
        <v>0.7</v>
      </c>
      <c r="P6" s="125">
        <f>'P&amp;L-CFL'!P10</f>
        <v>0.7</v>
      </c>
      <c r="Q6" s="125">
        <f>'P&amp;L-CFL'!Q10</f>
        <v>0.7</v>
      </c>
      <c r="R6" s="125">
        <f>'P&amp;L-CFL'!R10</f>
        <v>0.7</v>
      </c>
      <c r="S6" s="125">
        <f>'P&amp;L-CFL'!S10</f>
        <v>0.7</v>
      </c>
      <c r="T6" s="125">
        <f>'P&amp;L-CFL'!T10</f>
        <v>0.7</v>
      </c>
      <c r="U6" s="125">
        <f>'P&amp;L-CFL'!U10</f>
        <v>0.7</v>
      </c>
      <c r="V6" s="125">
        <f>'P&amp;L-CFL'!V10</f>
        <v>0.7</v>
      </c>
      <c r="W6" s="125">
        <f>'P&amp;L-CFL'!W10</f>
        <v>0.7</v>
      </c>
      <c r="X6" s="125">
        <f>'P&amp;L-CFL'!X10</f>
        <v>0.7</v>
      </c>
    </row>
    <row r="7" spans="1:24">
      <c r="A7" s="35" t="s">
        <v>34</v>
      </c>
      <c r="B7" s="35"/>
      <c r="C7" s="35"/>
      <c r="D7" s="9">
        <f>'P&amp;L-CFL'!D11</f>
        <v>2400000</v>
      </c>
      <c r="E7" s="9">
        <f>'P&amp;L-CFL'!E11</f>
        <v>5400000</v>
      </c>
      <c r="F7" s="9">
        <f>'P&amp;L-CFL'!F11</f>
        <v>9360000</v>
      </c>
      <c r="G7" s="9">
        <f>'P&amp;L-CFL'!G11</f>
        <v>10080000</v>
      </c>
      <c r="H7" s="9">
        <f>'P&amp;L-CFL'!H11</f>
        <v>10080000</v>
      </c>
      <c r="I7" s="9">
        <f>'P&amp;L-CFL'!I11</f>
        <v>10080000</v>
      </c>
      <c r="J7" s="9">
        <f>'P&amp;L-CFL'!J11</f>
        <v>10080000</v>
      </c>
      <c r="K7" s="9">
        <f>'P&amp;L-CFL'!K11</f>
        <v>10080000</v>
      </c>
      <c r="L7" s="9">
        <f>'P&amp;L-CFL'!L11</f>
        <v>10080000</v>
      </c>
      <c r="M7" s="9">
        <f>'P&amp;L-CFL'!M11</f>
        <v>10080000</v>
      </c>
      <c r="N7" s="9">
        <f>'P&amp;L-CFL'!N11</f>
        <v>10080000</v>
      </c>
      <c r="O7" s="9">
        <f>'P&amp;L-CFL'!O11</f>
        <v>10080000</v>
      </c>
      <c r="P7" s="9">
        <f>'P&amp;L-CFL'!P11</f>
        <v>10080000</v>
      </c>
      <c r="Q7" s="9">
        <f>'P&amp;L-CFL'!Q11</f>
        <v>10080000</v>
      </c>
      <c r="R7" s="9">
        <f>'P&amp;L-CFL'!R11</f>
        <v>10080000</v>
      </c>
      <c r="S7" s="9">
        <f>'P&amp;L-CFL'!S11</f>
        <v>10080000</v>
      </c>
      <c r="T7" s="9">
        <f>'P&amp;L-CFL'!T11</f>
        <v>10080000</v>
      </c>
      <c r="U7" s="9">
        <f>'P&amp;L-CFL'!U11</f>
        <v>10080000</v>
      </c>
      <c r="V7" s="9">
        <f>'P&amp;L-CFL'!V11</f>
        <v>10080000</v>
      </c>
      <c r="W7" s="9">
        <f>'P&amp;L-CFL'!W11</f>
        <v>10080000</v>
      </c>
      <c r="X7" s="9">
        <f>'P&amp;L-CFL'!X11</f>
        <v>3360000</v>
      </c>
    </row>
    <row r="8" spans="1:24">
      <c r="A8" s="35" t="s">
        <v>47</v>
      </c>
      <c r="B8" s="35"/>
      <c r="C8" s="35"/>
      <c r="D8" s="9">
        <f>'P&amp;L-CFL'!D12</f>
        <v>0</v>
      </c>
      <c r="E8" s="9">
        <f>'P&amp;L-CFL'!E12</f>
        <v>0</v>
      </c>
      <c r="F8" s="9">
        <f>'P&amp;L-CFL'!F12</f>
        <v>0</v>
      </c>
      <c r="G8" s="9">
        <f>'P&amp;L-CFL'!G12</f>
        <v>0</v>
      </c>
      <c r="H8" s="9">
        <f>'P&amp;L-CFL'!H12</f>
        <v>0</v>
      </c>
      <c r="I8" s="9">
        <f>'P&amp;L-CFL'!I12</f>
        <v>0</v>
      </c>
      <c r="J8" s="9">
        <f>'P&amp;L-CFL'!J12</f>
        <v>0</v>
      </c>
      <c r="K8" s="9">
        <f>'P&amp;L-CFL'!K12</f>
        <v>0</v>
      </c>
      <c r="L8" s="9">
        <f>'P&amp;L-CFL'!L12</f>
        <v>0</v>
      </c>
      <c r="M8" s="9">
        <f>'P&amp;L-CFL'!M12</f>
        <v>0</v>
      </c>
      <c r="N8" s="9">
        <f>'P&amp;L-CFL'!N12</f>
        <v>0</v>
      </c>
      <c r="O8" s="9">
        <f>'P&amp;L-CFL'!O12</f>
        <v>0</v>
      </c>
      <c r="P8" s="9">
        <f>'P&amp;L-CFL'!P12</f>
        <v>0</v>
      </c>
      <c r="Q8" s="9">
        <f>'P&amp;L-CFL'!Q12</f>
        <v>0</v>
      </c>
      <c r="R8" s="9">
        <f>'P&amp;L-CFL'!R12</f>
        <v>0</v>
      </c>
      <c r="S8" s="9">
        <f>'P&amp;L-CFL'!S12</f>
        <v>0</v>
      </c>
      <c r="T8" s="9">
        <f>'P&amp;L-CFL'!T12</f>
        <v>0</v>
      </c>
      <c r="U8" s="9">
        <f>'P&amp;L-CFL'!U12</f>
        <v>0</v>
      </c>
      <c r="V8" s="9">
        <f>'P&amp;L-CFL'!V12</f>
        <v>0</v>
      </c>
      <c r="W8" s="9">
        <f>'P&amp;L-CFL'!W12</f>
        <v>0</v>
      </c>
      <c r="X8" s="9">
        <f>'P&amp;L-CFL'!X12</f>
        <v>0</v>
      </c>
    </row>
    <row r="9" spans="1:24">
      <c r="A9" s="35" t="s">
        <v>48</v>
      </c>
      <c r="B9" s="35"/>
      <c r="C9" s="35"/>
      <c r="D9" s="9">
        <f>'P&amp;L-CFL'!D13</f>
        <v>30</v>
      </c>
      <c r="E9" s="9">
        <f>'P&amp;L-CFL'!E13</f>
        <v>30</v>
      </c>
      <c r="F9" s="9">
        <f>'P&amp;L-CFL'!F13</f>
        <v>30</v>
      </c>
      <c r="G9" s="9">
        <f>'P&amp;L-CFL'!G13</f>
        <v>30</v>
      </c>
      <c r="H9" s="9">
        <f>'P&amp;L-CFL'!H13</f>
        <v>30</v>
      </c>
      <c r="I9" s="9">
        <f>'P&amp;L-CFL'!I13</f>
        <v>30</v>
      </c>
      <c r="J9" s="9">
        <f>'P&amp;L-CFL'!J13</f>
        <v>30</v>
      </c>
      <c r="K9" s="9">
        <f>'P&amp;L-CFL'!K13</f>
        <v>30</v>
      </c>
      <c r="L9" s="9">
        <f>'P&amp;L-CFL'!L13</f>
        <v>30</v>
      </c>
      <c r="M9" s="9">
        <f>'P&amp;L-CFL'!M13</f>
        <v>30</v>
      </c>
      <c r="N9" s="9">
        <f>'P&amp;L-CFL'!N13</f>
        <v>30</v>
      </c>
      <c r="O9" s="9">
        <f>'P&amp;L-CFL'!O13</f>
        <v>30</v>
      </c>
      <c r="P9" s="9">
        <f>'P&amp;L-CFL'!P13</f>
        <v>30</v>
      </c>
      <c r="Q9" s="9">
        <f>'P&amp;L-CFL'!Q13</f>
        <v>30</v>
      </c>
      <c r="R9" s="9">
        <f>'P&amp;L-CFL'!R13</f>
        <v>30</v>
      </c>
      <c r="S9" s="9">
        <f>'P&amp;L-CFL'!S13</f>
        <v>30</v>
      </c>
      <c r="T9" s="9">
        <f>'P&amp;L-CFL'!T13</f>
        <v>30</v>
      </c>
      <c r="U9" s="9">
        <f>'P&amp;L-CFL'!U13</f>
        <v>30</v>
      </c>
      <c r="V9" s="9">
        <f>'P&amp;L-CFL'!V13</f>
        <v>30</v>
      </c>
      <c r="W9" s="9">
        <f>'P&amp;L-CFL'!W13</f>
        <v>30</v>
      </c>
      <c r="X9" s="9">
        <f>'P&amp;L-CFL'!X13</f>
        <v>30</v>
      </c>
    </row>
    <row r="10" spans="1:24">
      <c r="A10" s="35" t="s">
        <v>49</v>
      </c>
      <c r="B10" s="35"/>
      <c r="C10" s="35"/>
      <c r="D10" s="9">
        <f>'P&amp;L-CFL'!D14</f>
        <v>0</v>
      </c>
      <c r="E10" s="9">
        <f>'P&amp;L-CFL'!E14</f>
        <v>0</v>
      </c>
      <c r="F10" s="9">
        <f>'P&amp;L-CFL'!F14</f>
        <v>0</v>
      </c>
      <c r="G10" s="9">
        <f>'P&amp;L-CFL'!G14</f>
        <v>0</v>
      </c>
      <c r="H10" s="9">
        <f>'P&amp;L-CFL'!H14</f>
        <v>0</v>
      </c>
      <c r="I10" s="9">
        <f>'P&amp;L-CFL'!I14</f>
        <v>0</v>
      </c>
      <c r="J10" s="9">
        <f>'P&amp;L-CFL'!J14</f>
        <v>0</v>
      </c>
      <c r="K10" s="9">
        <f>'P&amp;L-CFL'!K14</f>
        <v>0</v>
      </c>
      <c r="L10" s="9">
        <f>'P&amp;L-CFL'!L14</f>
        <v>0</v>
      </c>
      <c r="M10" s="9">
        <f>'P&amp;L-CFL'!M14</f>
        <v>0</v>
      </c>
      <c r="N10" s="9">
        <f>'P&amp;L-CFL'!N14</f>
        <v>0</v>
      </c>
      <c r="O10" s="9">
        <f>'P&amp;L-CFL'!O14</f>
        <v>0</v>
      </c>
      <c r="P10" s="9">
        <f>'P&amp;L-CFL'!P14</f>
        <v>0</v>
      </c>
      <c r="Q10" s="9">
        <f>'P&amp;L-CFL'!Q14</f>
        <v>0</v>
      </c>
      <c r="R10" s="9">
        <f>'P&amp;L-CFL'!R14</f>
        <v>0</v>
      </c>
      <c r="S10" s="9">
        <f>'P&amp;L-CFL'!S14</f>
        <v>0</v>
      </c>
      <c r="T10" s="9">
        <f>'P&amp;L-CFL'!T14</f>
        <v>0</v>
      </c>
      <c r="U10" s="9">
        <f>'P&amp;L-CFL'!U14</f>
        <v>0</v>
      </c>
      <c r="V10" s="9">
        <f>'P&amp;L-CFL'!V14</f>
        <v>0</v>
      </c>
      <c r="W10" s="9">
        <f>'P&amp;L-CFL'!W14</f>
        <v>0</v>
      </c>
      <c r="X10" s="9">
        <f>'P&amp;L-CFL'!X14</f>
        <v>0</v>
      </c>
    </row>
    <row r="11" spans="1:24">
      <c r="A11" s="35" t="s">
        <v>181</v>
      </c>
      <c r="B11" s="35"/>
      <c r="C11" s="35"/>
      <c r="D11" s="35">
        <f>$B$62*(D7+D8)/10^5</f>
        <v>4973.3459133403194</v>
      </c>
      <c r="E11" s="35">
        <f t="shared" ref="E11:W11" si="0">$B$62*(E7+E8)/10^5</f>
        <v>11190.02830501572</v>
      </c>
      <c r="F11" s="35">
        <f t="shared" si="0"/>
        <v>19396.049062027243</v>
      </c>
      <c r="G11" s="35">
        <f t="shared" si="0"/>
        <v>20888.052836029343</v>
      </c>
      <c r="H11" s="35">
        <f t="shared" si="0"/>
        <v>20888.052836029343</v>
      </c>
      <c r="I11" s="35">
        <f t="shared" si="0"/>
        <v>20888.052836029343</v>
      </c>
      <c r="J11" s="35">
        <f t="shared" si="0"/>
        <v>20888.052836029343</v>
      </c>
      <c r="K11" s="35">
        <f t="shared" si="0"/>
        <v>20888.052836029343</v>
      </c>
      <c r="L11" s="35">
        <f t="shared" si="0"/>
        <v>20888.052836029343</v>
      </c>
      <c r="M11" s="35">
        <f t="shared" si="0"/>
        <v>20888.052836029343</v>
      </c>
      <c r="N11" s="35">
        <f t="shared" si="0"/>
        <v>20888.052836029343</v>
      </c>
      <c r="O11" s="35">
        <f t="shared" si="0"/>
        <v>20888.052836029343</v>
      </c>
      <c r="P11" s="35">
        <f t="shared" si="0"/>
        <v>20888.052836029343</v>
      </c>
      <c r="Q11" s="35">
        <f t="shared" si="0"/>
        <v>20888.052836029343</v>
      </c>
      <c r="R11" s="35">
        <f t="shared" si="0"/>
        <v>20888.052836029343</v>
      </c>
      <c r="S11" s="35">
        <f t="shared" si="0"/>
        <v>20888.052836029343</v>
      </c>
      <c r="T11" s="35">
        <f t="shared" si="0"/>
        <v>20888.052836029343</v>
      </c>
      <c r="U11" s="35">
        <f t="shared" si="0"/>
        <v>20888.052836029343</v>
      </c>
      <c r="V11" s="35">
        <f t="shared" si="0"/>
        <v>20888.052836029343</v>
      </c>
      <c r="W11" s="35">
        <f t="shared" si="0"/>
        <v>20888.052836029343</v>
      </c>
      <c r="X11" s="35">
        <f>$B$62*(X7+X8)/10^5</f>
        <v>6962.6842786764464</v>
      </c>
    </row>
    <row r="12" spans="1:24">
      <c r="A12" s="35" t="s">
        <v>104</v>
      </c>
      <c r="B12" s="35" t="s">
        <v>102</v>
      </c>
      <c r="C12" s="35"/>
      <c r="D12" s="35">
        <f>'P&amp;L-CFL'!D15</f>
        <v>720</v>
      </c>
      <c r="E12" s="35">
        <f>'P&amp;L-CFL'!E15</f>
        <v>1620</v>
      </c>
      <c r="F12" s="35">
        <f>'P&amp;L-CFL'!F15</f>
        <v>2808</v>
      </c>
      <c r="G12" s="35">
        <f>'P&amp;L-CFL'!G15</f>
        <v>3024</v>
      </c>
      <c r="H12" s="35">
        <f>'P&amp;L-CFL'!H15</f>
        <v>3024</v>
      </c>
      <c r="I12" s="35">
        <f>'P&amp;L-CFL'!I15</f>
        <v>3024</v>
      </c>
      <c r="J12" s="35">
        <f>'P&amp;L-CFL'!J15</f>
        <v>3024</v>
      </c>
      <c r="K12" s="35">
        <f>'P&amp;L-CFL'!K15</f>
        <v>3024</v>
      </c>
      <c r="L12" s="35">
        <f>'P&amp;L-CFL'!L15</f>
        <v>3024</v>
      </c>
      <c r="M12" s="35">
        <f>'P&amp;L-CFL'!M15</f>
        <v>3024</v>
      </c>
      <c r="N12" s="35">
        <f>'P&amp;L-CFL'!N15</f>
        <v>3024</v>
      </c>
      <c r="O12" s="35">
        <f>'P&amp;L-CFL'!O15</f>
        <v>3024</v>
      </c>
      <c r="P12" s="35">
        <f>'P&amp;L-CFL'!P15</f>
        <v>3024</v>
      </c>
      <c r="Q12" s="35">
        <f>'P&amp;L-CFL'!Q15</f>
        <v>3024</v>
      </c>
      <c r="R12" s="35">
        <f>'P&amp;L-CFL'!R15</f>
        <v>3024</v>
      </c>
      <c r="S12" s="35">
        <f>'P&amp;L-CFL'!S15</f>
        <v>3024</v>
      </c>
      <c r="T12" s="35">
        <f>'P&amp;L-CFL'!T15</f>
        <v>3024</v>
      </c>
      <c r="U12" s="35">
        <f>'P&amp;L-CFL'!U15</f>
        <v>3024</v>
      </c>
      <c r="V12" s="35">
        <f>'P&amp;L-CFL'!V15</f>
        <v>3024</v>
      </c>
      <c r="W12" s="35">
        <f>'P&amp;L-CFL'!W15</f>
        <v>3024</v>
      </c>
      <c r="X12" s="35">
        <f>'P&amp;L-CFL'!X15</f>
        <v>1008</v>
      </c>
    </row>
    <row r="13" spans="1:24">
      <c r="A13" s="35" t="s">
        <v>23</v>
      </c>
      <c r="B13" s="35" t="s">
        <v>102</v>
      </c>
      <c r="C13" s="35"/>
      <c r="D13" s="35">
        <f>'P&amp;L-CFL'!D16</f>
        <v>484.43338666666659</v>
      </c>
      <c r="E13" s="35">
        <f>'P&amp;L-CFL'!E16</f>
        <v>932.32786399999986</v>
      </c>
      <c r="F13" s="35">
        <f>'P&amp;L-CFL'!F16</f>
        <v>1363.4613368</v>
      </c>
      <c r="G13" s="35">
        <f>'P&amp;L-CFL'!G16</f>
        <v>1472.11925916</v>
      </c>
      <c r="H13" s="35">
        <f>'P&amp;L-CFL'!H16</f>
        <v>1495.0353327419998</v>
      </c>
      <c r="I13" s="35">
        <f>'P&amp;L-CFL'!I16</f>
        <v>1521.4958841278999</v>
      </c>
      <c r="J13" s="35">
        <f>'P&amp;L-CFL'!J16</f>
        <v>1552.1578720328548</v>
      </c>
      <c r="K13" s="35">
        <f>'P&amp;L-CFL'!K16</f>
        <v>1587.8070500727697</v>
      </c>
      <c r="L13" s="35">
        <f>'P&amp;L-CFL'!L16</f>
        <v>1629.3835959023345</v>
      </c>
      <c r="M13" s="35">
        <f>'P&amp;L-CFL'!M16</f>
        <v>1678.0128596885629</v>
      </c>
      <c r="N13" s="35">
        <f>'P&amp;L-CFL'!N16</f>
        <v>1735.0422554623251</v>
      </c>
      <c r="O13" s="35">
        <f>'P&amp;L-CFL'!O16</f>
        <v>1802.0855235826421</v>
      </c>
      <c r="P13" s="35">
        <f>'P&amp;L-CFL'!P16</f>
        <v>1881.0758381784153</v>
      </c>
      <c r="Q13" s="35">
        <f>'P&amp;L-CFL'!Q16</f>
        <v>1974.3295281873052</v>
      </c>
      <c r="R13" s="35">
        <f>'P&amp;L-CFL'!R16</f>
        <v>2084.6225343166334</v>
      </c>
      <c r="S13" s="35">
        <f>'P&amp;L-CFL'!S16</f>
        <v>2215.2821486964203</v>
      </c>
      <c r="T13" s="35">
        <f>'P&amp;L-CFL'!T16</f>
        <v>2370.297093327988</v>
      </c>
      <c r="U13" s="35">
        <f>'P&amp;L-CFL'!U16</f>
        <v>2554.4496046304835</v>
      </c>
      <c r="V13" s="35">
        <f>'P&amp;L-CFL'!V16</f>
        <v>2773.4739248253231</v>
      </c>
      <c r="W13" s="35">
        <f>'P&amp;L-CFL'!W16</f>
        <v>3034.2464810225674</v>
      </c>
      <c r="X13" s="35">
        <f>'P&amp;L-CFL'!X16</f>
        <v>2670.8972890208697</v>
      </c>
    </row>
    <row r="14" spans="1:24">
      <c r="A14" s="35" t="s">
        <v>25</v>
      </c>
      <c r="B14" s="35" t="s">
        <v>102</v>
      </c>
      <c r="C14" s="35"/>
      <c r="D14" s="35">
        <f>D13</f>
        <v>484.43338666666659</v>
      </c>
      <c r="E14" s="35">
        <f t="shared" ref="E14:X14" si="1">E13</f>
        <v>932.32786399999986</v>
      </c>
      <c r="F14" s="35">
        <f t="shared" si="1"/>
        <v>1363.4613368</v>
      </c>
      <c r="G14" s="35">
        <f t="shared" si="1"/>
        <v>1472.11925916</v>
      </c>
      <c r="H14" s="35">
        <f t="shared" si="1"/>
        <v>1495.0353327419998</v>
      </c>
      <c r="I14" s="35">
        <f t="shared" si="1"/>
        <v>1521.4958841278999</v>
      </c>
      <c r="J14" s="35">
        <f t="shared" si="1"/>
        <v>1552.1578720328548</v>
      </c>
      <c r="K14" s="35">
        <f t="shared" si="1"/>
        <v>1587.8070500727697</v>
      </c>
      <c r="L14" s="35">
        <f t="shared" si="1"/>
        <v>1629.3835959023345</v>
      </c>
      <c r="M14" s="35">
        <f t="shared" si="1"/>
        <v>1678.0128596885629</v>
      </c>
      <c r="N14" s="35">
        <f t="shared" si="1"/>
        <v>1735.0422554623251</v>
      </c>
      <c r="O14" s="35">
        <f t="shared" si="1"/>
        <v>1802.0855235826421</v>
      </c>
      <c r="P14" s="35">
        <f t="shared" si="1"/>
        <v>1881.0758381784153</v>
      </c>
      <c r="Q14" s="35">
        <f t="shared" si="1"/>
        <v>1974.3295281873052</v>
      </c>
      <c r="R14" s="35">
        <f t="shared" si="1"/>
        <v>2084.6225343166334</v>
      </c>
      <c r="S14" s="35">
        <f t="shared" si="1"/>
        <v>2215.2821486964203</v>
      </c>
      <c r="T14" s="35">
        <f t="shared" si="1"/>
        <v>2370.297093327988</v>
      </c>
      <c r="U14" s="35">
        <f t="shared" si="1"/>
        <v>2554.4496046304835</v>
      </c>
      <c r="V14" s="35">
        <f t="shared" si="1"/>
        <v>2773.4739248253231</v>
      </c>
      <c r="W14" s="35">
        <f t="shared" si="1"/>
        <v>3034.2464810225674</v>
      </c>
      <c r="X14" s="35">
        <f t="shared" si="1"/>
        <v>2670.8972890208697</v>
      </c>
    </row>
    <row r="15" spans="1:24">
      <c r="A15" s="83" t="s">
        <v>58</v>
      </c>
      <c r="B15" s="35" t="s">
        <v>102</v>
      </c>
      <c r="C15" s="35"/>
      <c r="D15" s="35">
        <f>'P&amp;L-CFL'!D18</f>
        <v>16</v>
      </c>
      <c r="E15" s="35">
        <f>'P&amp;L-CFL'!E18</f>
        <v>26.400000000000002</v>
      </c>
      <c r="F15" s="35">
        <f>'P&amp;L-CFL'!F18</f>
        <v>29.040000000000006</v>
      </c>
      <c r="G15" s="35">
        <f>'P&amp;L-CFL'!G18</f>
        <v>31.94400000000001</v>
      </c>
      <c r="H15" s="35">
        <f>'P&amp;L-CFL'!H18</f>
        <v>35.138400000000011</v>
      </c>
      <c r="I15" s="35">
        <f>'P&amp;L-CFL'!I18</f>
        <v>38.652240000000013</v>
      </c>
      <c r="J15" s="35">
        <f>'P&amp;L-CFL'!J18</f>
        <v>42.517464000000018</v>
      </c>
      <c r="K15" s="35">
        <f>'P&amp;L-CFL'!K18</f>
        <v>46.769210400000027</v>
      </c>
      <c r="L15" s="35">
        <f>'P&amp;L-CFL'!L18</f>
        <v>51.44613144000003</v>
      </c>
      <c r="M15" s="35">
        <f>'P&amp;L-CFL'!M18</f>
        <v>56.590744584000035</v>
      </c>
      <c r="N15" s="35">
        <f>'P&amp;L-CFL'!N18</f>
        <v>62.249819042400041</v>
      </c>
      <c r="O15" s="35">
        <f>'P&amp;L-CFL'!O18</f>
        <v>68.474800946640045</v>
      </c>
      <c r="P15" s="35">
        <f>'P&amp;L-CFL'!P18</f>
        <v>75.322281041304052</v>
      </c>
      <c r="Q15" s="35">
        <f>'P&amp;L-CFL'!Q18</f>
        <v>82.854509145434463</v>
      </c>
      <c r="R15" s="35">
        <f>'P&amp;L-CFL'!R18</f>
        <v>91.139960059977923</v>
      </c>
      <c r="S15" s="35">
        <f>'P&amp;L-CFL'!S18</f>
        <v>100.25395606597573</v>
      </c>
      <c r="T15" s="35">
        <f>'P&amp;L-CFL'!T18</f>
        <v>110.27935167257331</v>
      </c>
      <c r="U15" s="35">
        <f>'P&amp;L-CFL'!U18</f>
        <v>121.30728683983065</v>
      </c>
      <c r="V15" s="35">
        <f>'P&amp;L-CFL'!V18</f>
        <v>133.43801552381373</v>
      </c>
      <c r="W15" s="35">
        <f>'P&amp;L-CFL'!W18</f>
        <v>146.78181707619513</v>
      </c>
      <c r="X15" s="35">
        <f>'P&amp;L-CFL'!X18</f>
        <v>161.45999878381465</v>
      </c>
    </row>
    <row r="16" spans="1:24">
      <c r="A16" s="130" t="s">
        <v>176</v>
      </c>
      <c r="B16" s="35"/>
      <c r="C16" s="35"/>
      <c r="D16" s="26"/>
      <c r="E16" s="26"/>
      <c r="F16" s="26"/>
      <c r="G16" s="26"/>
      <c r="H16" s="26"/>
      <c r="I16" s="26"/>
      <c r="J16" s="26"/>
      <c r="K16" s="26"/>
      <c r="L16" s="26"/>
      <c r="M16" s="26"/>
      <c r="N16" s="26"/>
      <c r="O16" s="26"/>
      <c r="P16" s="26"/>
      <c r="Q16" s="26"/>
      <c r="R16" s="26"/>
      <c r="S16" s="26"/>
      <c r="T16" s="26"/>
      <c r="U16" s="26"/>
      <c r="V16" s="26"/>
      <c r="W16" s="26"/>
      <c r="X16" s="26"/>
    </row>
    <row r="17" spans="1:24">
      <c r="A17" s="130" t="s">
        <v>177</v>
      </c>
      <c r="B17" s="35" t="s">
        <v>102</v>
      </c>
      <c r="C17" s="35">
        <f>'P&amp;L-CFL'!C20</f>
        <v>970</v>
      </c>
      <c r="D17" s="26"/>
      <c r="E17" s="26"/>
      <c r="F17" s="26"/>
      <c r="G17" s="26"/>
      <c r="H17" s="26"/>
      <c r="I17" s="26"/>
      <c r="J17" s="26"/>
      <c r="K17" s="26"/>
      <c r="L17" s="26"/>
      <c r="M17" s="26"/>
      <c r="N17" s="26"/>
      <c r="O17" s="26"/>
      <c r="P17" s="26"/>
      <c r="Q17" s="26"/>
      <c r="R17" s="26"/>
      <c r="S17" s="26"/>
      <c r="T17" s="26"/>
      <c r="U17" s="26"/>
      <c r="V17" s="26"/>
      <c r="W17" s="26"/>
      <c r="X17" s="26"/>
    </row>
    <row r="18" spans="1:24">
      <c r="A18" s="130" t="s">
        <v>178</v>
      </c>
      <c r="B18" s="35" t="s">
        <v>102</v>
      </c>
      <c r="C18" s="35"/>
      <c r="D18" s="35">
        <f>'P&amp;L-CFL'!D21</f>
        <v>92.38095238095238</v>
      </c>
      <c r="E18" s="35">
        <f>'P&amp;L-CFL'!E21</f>
        <v>138.57142857142858</v>
      </c>
      <c r="F18" s="35">
        <f>'P&amp;L-CFL'!F21</f>
        <v>138.57142857142858</v>
      </c>
      <c r="G18" s="35">
        <f>'P&amp;L-CFL'!G21</f>
        <v>138.57142857142858</v>
      </c>
      <c r="H18" s="35">
        <f>'P&amp;L-CFL'!H21</f>
        <v>138.57142857142858</v>
      </c>
      <c r="I18" s="35">
        <f>'P&amp;L-CFL'!I21</f>
        <v>138.57142857142858</v>
      </c>
      <c r="J18" s="35">
        <f>'P&amp;L-CFL'!J21</f>
        <v>138.57142857142858</v>
      </c>
      <c r="K18" s="35">
        <f>'P&amp;L-CFL'!K21</f>
        <v>46.19047619047619</v>
      </c>
    </row>
    <row r="19" spans="1:24">
      <c r="A19" s="130" t="s">
        <v>179</v>
      </c>
      <c r="B19" s="35" t="s">
        <v>102</v>
      </c>
      <c r="C19" s="35"/>
      <c r="D19" s="35">
        <f>'P&amp;L-CFL'!D22</f>
        <v>877.61904761904759</v>
      </c>
      <c r="E19" s="35">
        <f>'P&amp;L-CFL'!E22</f>
        <v>739.04761904761904</v>
      </c>
      <c r="F19" s="35">
        <f>'P&amp;L-CFL'!F22</f>
        <v>600.47619047619048</v>
      </c>
      <c r="G19" s="35">
        <f>'P&amp;L-CFL'!G22</f>
        <v>461.90476190476193</v>
      </c>
      <c r="H19" s="35">
        <f>'P&amp;L-CFL'!H22</f>
        <v>323.33333333333337</v>
      </c>
      <c r="I19" s="35">
        <f>'P&amp;L-CFL'!I22</f>
        <v>184.76190476190479</v>
      </c>
      <c r="J19" s="35">
        <f>'P&amp;L-CFL'!J22</f>
        <v>46.190476190476204</v>
      </c>
      <c r="K19" s="35">
        <f>'P&amp;L-CFL'!K22</f>
        <v>0</v>
      </c>
    </row>
    <row r="20" spans="1:24">
      <c r="A20" s="35" t="s">
        <v>55</v>
      </c>
      <c r="B20" s="35" t="s">
        <v>102</v>
      </c>
      <c r="C20" s="35"/>
      <c r="D20" s="35">
        <f>'P&amp;L-CFL'!D23</f>
        <v>114.0904761904762</v>
      </c>
      <c r="E20" s="35">
        <f>'P&amp;L-CFL'!E23</f>
        <v>96.076190476190476</v>
      </c>
      <c r="F20" s="35">
        <f>'P&amp;L-CFL'!F23</f>
        <v>78.061904761904771</v>
      </c>
      <c r="G20" s="35">
        <f>'P&amp;L-CFL'!G23</f>
        <v>60.047619047619051</v>
      </c>
      <c r="H20" s="35">
        <f>'P&amp;L-CFL'!H23</f>
        <v>42.033333333333339</v>
      </c>
      <c r="I20" s="35">
        <f>'P&amp;L-CFL'!I23</f>
        <v>24.019047619047623</v>
      </c>
      <c r="J20" s="35">
        <f>'P&amp;L-CFL'!J23</f>
        <v>6.0047619047619065</v>
      </c>
      <c r="K20" s="35">
        <f>'P&amp;L-CFL'!K23</f>
        <v>0</v>
      </c>
    </row>
    <row r="21" spans="1:24">
      <c r="A21" s="35" t="s">
        <v>56</v>
      </c>
      <c r="B21" s="35" t="s">
        <v>102</v>
      </c>
      <c r="C21" s="35"/>
      <c r="D21" s="35">
        <f>'P&amp;L-CFL'!D24</f>
        <v>13.58049572761143</v>
      </c>
      <c r="E21" s="35">
        <f>'P&amp;L-CFL'!E24</f>
        <v>18.933404734799996</v>
      </c>
      <c r="F21" s="35">
        <f>'P&amp;L-CFL'!F24</f>
        <v>38.144332630800001</v>
      </c>
      <c r="G21" s="35">
        <f>'P&amp;L-CFL'!G24</f>
        <v>41.864253748499998</v>
      </c>
      <c r="H21" s="35">
        <f>'P&amp;L-CFL'!H24</f>
        <v>42.036124300364996</v>
      </c>
      <c r="I21" s="35">
        <f>'P&amp;L-CFL'!I24</f>
        <v>42.234578435759246</v>
      </c>
      <c r="J21" s="35">
        <f>'P&amp;L-CFL'!J24</f>
        <v>42.464543345046401</v>
      </c>
      <c r="K21" s="35">
        <f>'P&amp;L-CFL'!K24</f>
        <v>42.731912180345773</v>
      </c>
      <c r="L21" s="35">
        <f>'P&amp;L-CFL'!L24</f>
        <v>43.043736274067506</v>
      </c>
      <c r="M21" s="35">
        <f>'P&amp;L-CFL'!M24</f>
        <v>43.408455752464221</v>
      </c>
      <c r="N21" s="35">
        <f>'P&amp;L-CFL'!N24</f>
        <v>43.836176220767442</v>
      </c>
      <c r="O21" s="35">
        <f>'P&amp;L-CFL'!O24</f>
        <v>44.33900073166982</v>
      </c>
      <c r="P21" s="35">
        <f>'P&amp;L-CFL'!P24</f>
        <v>44.931428091138109</v>
      </c>
      <c r="Q21" s="35">
        <f>'P&amp;L-CFL'!Q24</f>
        <v>45.630830766204781</v>
      </c>
      <c r="R21" s="35">
        <f>'P&amp;L-CFL'!R24</f>
        <v>46.458028312174754</v>
      </c>
      <c r="S21" s="35">
        <f>'P&amp;L-CFL'!S24</f>
        <v>47.437975420023157</v>
      </c>
      <c r="T21" s="35">
        <f>'P&amp;L-CFL'!T24</f>
        <v>48.600587504759901</v>
      </c>
      <c r="U21" s="35">
        <f>'P&amp;L-CFL'!U24</f>
        <v>49.981731339528622</v>
      </c>
      <c r="V21" s="35">
        <f>'P&amp;L-CFL'!V24</f>
        <v>51.624413740989922</v>
      </c>
      <c r="W21" s="35">
        <f>'P&amp;L-CFL'!W24</f>
        <v>53.144916418069258</v>
      </c>
      <c r="X21" s="35">
        <f>'P&amp;L-CFL'!X24</f>
        <v>23.086674167656522</v>
      </c>
    </row>
    <row r="22" spans="1:24">
      <c r="A22" s="35" t="s">
        <v>54</v>
      </c>
      <c r="B22" s="35" t="s">
        <v>102</v>
      </c>
      <c r="C22" s="35"/>
      <c r="D22" s="35">
        <f>'P&amp;L-CFL'!D25</f>
        <v>54</v>
      </c>
      <c r="E22" s="35">
        <f>'P&amp;L-CFL'!E25</f>
        <v>121.5</v>
      </c>
      <c r="F22" s="35">
        <f>'P&amp;L-CFL'!F25</f>
        <v>210.6</v>
      </c>
      <c r="G22" s="35">
        <f>'P&amp;L-CFL'!G25</f>
        <v>226.79999999999998</v>
      </c>
      <c r="H22" s="35">
        <f>'P&amp;L-CFL'!H25</f>
        <v>226.79999999999998</v>
      </c>
      <c r="I22" s="35">
        <f>'P&amp;L-CFL'!I25</f>
        <v>226.79999999999998</v>
      </c>
      <c r="J22" s="35">
        <f>'P&amp;L-CFL'!J25</f>
        <v>226.79999999999998</v>
      </c>
      <c r="K22" s="35">
        <f>'P&amp;L-CFL'!K25</f>
        <v>226.79999999999998</v>
      </c>
      <c r="L22" s="35">
        <f>'P&amp;L-CFL'!L25</f>
        <v>226.79999999999998</v>
      </c>
      <c r="M22" s="35">
        <f>'P&amp;L-CFL'!M25</f>
        <v>226.79999999999998</v>
      </c>
      <c r="N22" s="35">
        <f>'P&amp;L-CFL'!N25</f>
        <v>226.79999999999998</v>
      </c>
      <c r="O22" s="35">
        <f>'P&amp;L-CFL'!O25</f>
        <v>226.79999999999998</v>
      </c>
      <c r="P22" s="35">
        <f>'P&amp;L-CFL'!P25</f>
        <v>226.79999999999998</v>
      </c>
      <c r="Q22" s="35">
        <f>'P&amp;L-CFL'!Q25</f>
        <v>226.79999999999998</v>
      </c>
      <c r="R22" s="35">
        <f>'P&amp;L-CFL'!R25</f>
        <v>226.79999999999998</v>
      </c>
      <c r="S22" s="35">
        <f>'P&amp;L-CFL'!S25</f>
        <v>226.79999999999998</v>
      </c>
      <c r="T22" s="35">
        <f>'P&amp;L-CFL'!T25</f>
        <v>226.79999999999998</v>
      </c>
      <c r="U22" s="35">
        <f>'P&amp;L-CFL'!U25</f>
        <v>226.79999999999998</v>
      </c>
      <c r="V22" s="35">
        <f>'P&amp;L-CFL'!V25</f>
        <v>226.79999999999998</v>
      </c>
      <c r="W22" s="35">
        <f>'P&amp;L-CFL'!W25</f>
        <v>226.79999999999998</v>
      </c>
      <c r="X22" s="35">
        <f>'P&amp;L-CFL'!X25</f>
        <v>75.599999999999994</v>
      </c>
    </row>
    <row r="23" spans="1:24">
      <c r="A23" s="35" t="s">
        <v>57</v>
      </c>
      <c r="B23" s="35" t="s">
        <v>102</v>
      </c>
      <c r="C23" s="35"/>
      <c r="D23" s="35">
        <f t="shared" ref="D23:W23" si="2">+D14+D15+D22+D20+D21</f>
        <v>682.10435858475421</v>
      </c>
      <c r="E23" s="35">
        <f t="shared" si="2"/>
        <v>1195.2374592109904</v>
      </c>
      <c r="F23" s="35">
        <f t="shared" si="2"/>
        <v>1719.3075741927046</v>
      </c>
      <c r="G23" s="35">
        <f t="shared" si="2"/>
        <v>1832.7751319561189</v>
      </c>
      <c r="H23" s="35">
        <f t="shared" si="2"/>
        <v>1841.043190375698</v>
      </c>
      <c r="I23" s="35">
        <f t="shared" si="2"/>
        <v>1853.2017501827067</v>
      </c>
      <c r="J23" s="35">
        <f t="shared" si="2"/>
        <v>1869.944641282663</v>
      </c>
      <c r="K23" s="35">
        <f t="shared" si="2"/>
        <v>1904.1081726531154</v>
      </c>
      <c r="L23" s="35">
        <f t="shared" si="2"/>
        <v>1950.6734636164019</v>
      </c>
      <c r="M23" s="35">
        <f t="shared" si="2"/>
        <v>2004.8120600250272</v>
      </c>
      <c r="N23" s="35">
        <f t="shared" si="2"/>
        <v>2067.9282507254925</v>
      </c>
      <c r="O23" s="35">
        <f t="shared" si="2"/>
        <v>2141.6993252609518</v>
      </c>
      <c r="P23" s="35">
        <f t="shared" si="2"/>
        <v>2228.1295473108576</v>
      </c>
      <c r="Q23" s="35">
        <f t="shared" si="2"/>
        <v>2329.6148680989445</v>
      </c>
      <c r="R23" s="35">
        <f t="shared" si="2"/>
        <v>2449.0205226887865</v>
      </c>
      <c r="S23" s="35">
        <f t="shared" si="2"/>
        <v>2589.7740801824193</v>
      </c>
      <c r="T23" s="35">
        <f t="shared" si="2"/>
        <v>2755.9770325053214</v>
      </c>
      <c r="U23" s="35">
        <f t="shared" si="2"/>
        <v>2952.5386228098432</v>
      </c>
      <c r="V23" s="35">
        <f t="shared" si="2"/>
        <v>3185.3363540901269</v>
      </c>
      <c r="W23" s="35">
        <f t="shared" si="2"/>
        <v>3460.9732145168323</v>
      </c>
      <c r="X23" s="35">
        <f>+X14+X15+X22+X20+X21</f>
        <v>2931.0439619723406</v>
      </c>
    </row>
    <row r="24" spans="1:24">
      <c r="A24" s="35" t="s">
        <v>27</v>
      </c>
      <c r="B24" s="35" t="s">
        <v>102</v>
      </c>
      <c r="C24" s="35"/>
      <c r="D24" s="35">
        <f>'P&amp;L-CFL'!D27</f>
        <v>60.759600426666658</v>
      </c>
      <c r="E24" s="35">
        <f>'P&amp;L-CFL'!E27</f>
        <v>91.139400639999991</v>
      </c>
      <c r="F24" s="35">
        <f>'P&amp;L-CFL'!F27</f>
        <v>91.139400639999991</v>
      </c>
      <c r="G24" s="35">
        <f>'P&amp;L-CFL'!G27</f>
        <v>91.139400639999991</v>
      </c>
      <c r="H24" s="35">
        <f>'P&amp;L-CFL'!H27</f>
        <v>91.139400639999991</v>
      </c>
      <c r="I24" s="35">
        <f>'P&amp;L-CFL'!I27</f>
        <v>91.139400639999991</v>
      </c>
      <c r="J24" s="35">
        <f>'P&amp;L-CFL'!J27</f>
        <v>91.139400639999991</v>
      </c>
      <c r="K24" s="35">
        <f>'P&amp;L-CFL'!K27</f>
        <v>91.139400639999991</v>
      </c>
      <c r="L24" s="35">
        <f>'P&amp;L-CFL'!L27</f>
        <v>91.139400639999991</v>
      </c>
      <c r="M24" s="35">
        <f>'P&amp;L-CFL'!M27</f>
        <v>91.139400639999991</v>
      </c>
      <c r="N24" s="35">
        <f>'P&amp;L-CFL'!N27</f>
        <v>91.139400639999991</v>
      </c>
      <c r="O24" s="35">
        <f>'P&amp;L-CFL'!O27</f>
        <v>91.139400639999991</v>
      </c>
      <c r="P24" s="35">
        <f>'P&amp;L-CFL'!P27</f>
        <v>91.139400639999991</v>
      </c>
      <c r="Q24" s="35">
        <f>'P&amp;L-CFL'!Q27</f>
        <v>91.139400639999991</v>
      </c>
      <c r="R24" s="35">
        <f>'P&amp;L-CFL'!R27</f>
        <v>91.139400639999991</v>
      </c>
      <c r="S24" s="35">
        <f>'P&amp;L-CFL'!S27</f>
        <v>91.139400639999991</v>
      </c>
      <c r="T24" s="35">
        <f>'P&amp;L-CFL'!T27</f>
        <v>91.139400639999991</v>
      </c>
      <c r="U24" s="35">
        <f>'P&amp;L-CFL'!U27</f>
        <v>91.139400639999991</v>
      </c>
      <c r="V24" s="35">
        <f>'P&amp;L-CFL'!V27</f>
        <v>91.139400639999991</v>
      </c>
      <c r="W24" s="35">
        <f>'P&amp;L-CFL'!W27</f>
        <v>33.100534719999523</v>
      </c>
      <c r="X24" s="35">
        <f>'P&amp;L-CFL'!X27</f>
        <v>3.7786533333333328</v>
      </c>
    </row>
    <row r="25" spans="1:24">
      <c r="A25" s="35" t="s">
        <v>26</v>
      </c>
      <c r="B25" s="35" t="s">
        <v>102</v>
      </c>
      <c r="C25" s="35"/>
      <c r="D25" s="35">
        <v>0</v>
      </c>
      <c r="E25" s="35">
        <v>0</v>
      </c>
      <c r="F25" s="35">
        <v>0</v>
      </c>
      <c r="G25" s="35">
        <v>0</v>
      </c>
      <c r="H25" s="35">
        <v>0</v>
      </c>
      <c r="I25" s="35">
        <v>0</v>
      </c>
      <c r="J25" s="35">
        <v>0</v>
      </c>
      <c r="K25" s="35">
        <v>0</v>
      </c>
      <c r="L25" s="35">
        <v>0</v>
      </c>
      <c r="M25" s="35">
        <v>0</v>
      </c>
      <c r="N25" s="35">
        <v>0</v>
      </c>
      <c r="O25" s="35">
        <v>0</v>
      </c>
      <c r="P25" s="35">
        <v>0</v>
      </c>
      <c r="Q25" s="35">
        <v>0</v>
      </c>
      <c r="R25" s="35">
        <v>0</v>
      </c>
      <c r="S25" s="35">
        <v>0</v>
      </c>
      <c r="T25" s="35">
        <v>0</v>
      </c>
      <c r="U25" s="35">
        <v>0</v>
      </c>
      <c r="V25" s="35">
        <v>0</v>
      </c>
      <c r="W25" s="35">
        <v>0</v>
      </c>
      <c r="X25" s="35">
        <f>'Depreciation-CFL'!Y45+'Depreciation-CFL'!Y49+'Depreciation-CFL'!Y53</f>
        <v>112.68079999999999</v>
      </c>
    </row>
    <row r="26" spans="1:24">
      <c r="A26" s="131" t="s">
        <v>99</v>
      </c>
      <c r="B26" s="35" t="s">
        <v>102</v>
      </c>
      <c r="C26" s="35"/>
      <c r="D26" s="35">
        <f t="shared" ref="D26:X26" si="3">+D23+D24-D25</f>
        <v>742.86395901142089</v>
      </c>
      <c r="E26" s="35">
        <f t="shared" si="3"/>
        <v>1286.3768598509905</v>
      </c>
      <c r="F26" s="35">
        <f t="shared" si="3"/>
        <v>1810.4469748327047</v>
      </c>
      <c r="G26" s="35">
        <f t="shared" si="3"/>
        <v>1923.914532596119</v>
      </c>
      <c r="H26" s="35">
        <f t="shared" si="3"/>
        <v>1932.1825910156981</v>
      </c>
      <c r="I26" s="35">
        <f t="shared" si="3"/>
        <v>1944.3411508227068</v>
      </c>
      <c r="J26" s="35">
        <f t="shared" si="3"/>
        <v>1961.0840419226631</v>
      </c>
      <c r="K26" s="35">
        <f t="shared" si="3"/>
        <v>1995.2475732931155</v>
      </c>
      <c r="L26" s="35">
        <f t="shared" si="3"/>
        <v>2041.812864256402</v>
      </c>
      <c r="M26" s="35">
        <f t="shared" si="3"/>
        <v>2095.9514606650273</v>
      </c>
      <c r="N26" s="35">
        <f t="shared" si="3"/>
        <v>2159.0676513654926</v>
      </c>
      <c r="O26" s="35">
        <f t="shared" si="3"/>
        <v>2232.8387259009519</v>
      </c>
      <c r="P26" s="35">
        <f t="shared" si="3"/>
        <v>2319.2689479508576</v>
      </c>
      <c r="Q26" s="35">
        <f t="shared" si="3"/>
        <v>2420.7542687389446</v>
      </c>
      <c r="R26" s="35">
        <f t="shared" si="3"/>
        <v>2540.1599233287866</v>
      </c>
      <c r="S26" s="35">
        <f t="shared" si="3"/>
        <v>2680.9134808224194</v>
      </c>
      <c r="T26" s="35">
        <f t="shared" si="3"/>
        <v>2847.1164331453215</v>
      </c>
      <c r="U26" s="35">
        <f t="shared" si="3"/>
        <v>3043.6780234498433</v>
      </c>
      <c r="V26" s="35">
        <f t="shared" si="3"/>
        <v>3276.4757547301269</v>
      </c>
      <c r="W26" s="35">
        <f t="shared" si="3"/>
        <v>3494.0737492368316</v>
      </c>
      <c r="X26" s="35">
        <f t="shared" si="3"/>
        <v>2822.1418153056738</v>
      </c>
    </row>
    <row r="27" spans="1:24">
      <c r="A27" s="131" t="s">
        <v>100</v>
      </c>
      <c r="B27" s="35" t="s">
        <v>101</v>
      </c>
      <c r="C27" s="35"/>
      <c r="D27" s="162">
        <f t="shared" ref="D27:X27" si="4">+D26*100000/(D7+D8)</f>
        <v>30.952664958809205</v>
      </c>
      <c r="E27" s="162">
        <f t="shared" si="4"/>
        <v>23.821793700944269</v>
      </c>
      <c r="F27" s="162">
        <f t="shared" si="4"/>
        <v>19.342382209751118</v>
      </c>
      <c r="G27" s="162">
        <f t="shared" si="4"/>
        <v>19.08645369639007</v>
      </c>
      <c r="H27" s="162">
        <f t="shared" si="4"/>
        <v>19.168478085473193</v>
      </c>
      <c r="I27" s="162">
        <f t="shared" si="4"/>
        <v>19.289098718479234</v>
      </c>
      <c r="J27" s="162">
        <f t="shared" si="4"/>
        <v>19.455198828597847</v>
      </c>
      <c r="K27" s="162">
        <f t="shared" si="4"/>
        <v>19.794122750923766</v>
      </c>
      <c r="L27" s="162">
        <f t="shared" si="4"/>
        <v>20.256080002543669</v>
      </c>
      <c r="M27" s="162">
        <f t="shared" si="4"/>
        <v>20.793169252629237</v>
      </c>
      <c r="N27" s="162">
        <f t="shared" si="4"/>
        <v>21.419321938149729</v>
      </c>
      <c r="O27" s="162">
        <f t="shared" si="4"/>
        <v>22.151177836318968</v>
      </c>
      <c r="P27" s="162">
        <f t="shared" si="4"/>
        <v>23.008620515385491</v>
      </c>
      <c r="Q27" s="162">
        <f t="shared" si="4"/>
        <v>24.015419332727625</v>
      </c>
      <c r="R27" s="162">
        <f t="shared" si="4"/>
        <v>25.199999239372882</v>
      </c>
      <c r="S27" s="162">
        <f t="shared" si="4"/>
        <v>26.596363897047812</v>
      </c>
      <c r="T27" s="162">
        <f t="shared" si="4"/>
        <v>28.245202709775015</v>
      </c>
      <c r="U27" s="162">
        <f t="shared" si="4"/>
        <v>30.19521848660559</v>
      </c>
      <c r="V27" s="162">
        <f t="shared" si="4"/>
        <v>32.504719788989355</v>
      </c>
      <c r="W27" s="162">
        <f t="shared" si="4"/>
        <v>34.663430051952695</v>
      </c>
      <c r="X27" s="162">
        <f t="shared" si="4"/>
        <v>83.99231593171649</v>
      </c>
    </row>
    <row r="28" spans="1:24">
      <c r="A28" s="131" t="s">
        <v>239</v>
      </c>
      <c r="B28" s="9"/>
      <c r="C28" s="35">
        <f>SUM(D28:W28)</f>
        <v>9.8916428664473859</v>
      </c>
      <c r="D28" s="35">
        <f>1/1.079</f>
        <v>0.92678405931417984</v>
      </c>
      <c r="E28" s="35">
        <f>D28/1.079</f>
        <v>0.85892869259886917</v>
      </c>
      <c r="F28" s="35">
        <f t="shared" ref="F28:X28" si="5">E28/1.079</f>
        <v>0.79604142038820125</v>
      </c>
      <c r="G28" s="35">
        <f t="shared" si="5"/>
        <v>0.73775849896960266</v>
      </c>
      <c r="H28" s="35">
        <f t="shared" si="5"/>
        <v>0.68374281646858448</v>
      </c>
      <c r="I28" s="35">
        <f t="shared" si="5"/>
        <v>0.63368194297366498</v>
      </c>
      <c r="J28" s="35">
        <f t="shared" si="5"/>
        <v>0.58728632342322984</v>
      </c>
      <c r="K28" s="35">
        <f t="shared" si="5"/>
        <v>0.54428760280188127</v>
      </c>
      <c r="L28" s="35">
        <f t="shared" si="5"/>
        <v>0.50443707395911153</v>
      </c>
      <c r="M28" s="35">
        <f t="shared" si="5"/>
        <v>0.46750423907239252</v>
      </c>
      <c r="N28" s="35">
        <f t="shared" si="5"/>
        <v>0.43327547643409875</v>
      </c>
      <c r="O28" s="35">
        <f t="shared" si="5"/>
        <v>0.4015528048508793</v>
      </c>
      <c r="P28" s="35">
        <f t="shared" si="5"/>
        <v>0.37215273850869257</v>
      </c>
      <c r="Q28" s="35">
        <f t="shared" si="5"/>
        <v>0.34490522567997461</v>
      </c>
      <c r="R28" s="35">
        <f t="shared" si="5"/>
        <v>0.31965266513436019</v>
      </c>
      <c r="S28" s="35">
        <f t="shared" si="5"/>
        <v>0.29624899456381854</v>
      </c>
      <c r="T28" s="35">
        <f t="shared" si="5"/>
        <v>0.27455884574960016</v>
      </c>
      <c r="U28" s="35">
        <f t="shared" si="5"/>
        <v>0.2544567615844302</v>
      </c>
      <c r="V28" s="35">
        <f t="shared" si="5"/>
        <v>0.23582647042115867</v>
      </c>
      <c r="W28" s="35">
        <f t="shared" si="5"/>
        <v>0.2185602135506568</v>
      </c>
      <c r="X28" s="35">
        <f t="shared" si="5"/>
        <v>0.20255812191905173</v>
      </c>
    </row>
    <row r="29" spans="1:24">
      <c r="A29" s="131" t="s">
        <v>103</v>
      </c>
      <c r="B29" s="35" t="s">
        <v>101</v>
      </c>
      <c r="C29" s="35">
        <f>+SUM(D29:W29)</f>
        <v>227.72929251933823</v>
      </c>
      <c r="D29" s="35">
        <f>+D28*D27</f>
        <v>28.686436477116967</v>
      </c>
      <c r="E29" s="35">
        <f t="shared" ref="E29:W29" si="6">+E28*E27</f>
        <v>20.461222118912037</v>
      </c>
      <c r="F29" s="35">
        <f t="shared" si="6"/>
        <v>15.397337407941755</v>
      </c>
      <c r="G29" s="35">
        <f t="shared" si="6"/>
        <v>14.081193429701562</v>
      </c>
      <c r="H29" s="35">
        <f t="shared" si="6"/>
        <v>13.106309193577781</v>
      </c>
      <c r="I29" s="35">
        <f t="shared" si="6"/>
        <v>12.223153554136752</v>
      </c>
      <c r="J29" s="35">
        <f t="shared" si="6"/>
        <v>11.425772191515158</v>
      </c>
      <c r="K29" s="35">
        <f t="shared" si="6"/>
        <v>10.773695621666477</v>
      </c>
      <c r="L29" s="35">
        <f t="shared" si="6"/>
        <v>10.217917726364801</v>
      </c>
      <c r="M29" s="35">
        <f t="shared" si="6"/>
        <v>9.720894769353901</v>
      </c>
      <c r="N29" s="35">
        <f t="shared" si="6"/>
        <v>9.2804669176471677</v>
      </c>
      <c r="O29" s="35">
        <f t="shared" si="6"/>
        <v>8.8948675909245143</v>
      </c>
      <c r="P29" s="35">
        <f t="shared" si="6"/>
        <v>8.5627211341079956</v>
      </c>
      <c r="Q29" s="35">
        <f t="shared" si="6"/>
        <v>8.2830436247536472</v>
      </c>
      <c r="R29" s="35">
        <f t="shared" si="6"/>
        <v>8.0552469182493915</v>
      </c>
      <c r="S29" s="35">
        <f t="shared" si="6"/>
        <v>7.8791460635538568</v>
      </c>
      <c r="T29" s="35">
        <f t="shared" si="6"/>
        <v>7.7549702539593062</v>
      </c>
      <c r="U29" s="35">
        <f t="shared" si="6"/>
        <v>7.6833775114359781</v>
      </c>
      <c r="V29" s="35">
        <f t="shared" si="6"/>
        <v>7.665473339866149</v>
      </c>
      <c r="W29" s="35">
        <f t="shared" si="6"/>
        <v>7.5760466745530355</v>
      </c>
      <c r="X29" s="35">
        <f>+X28*X27</f>
        <v>17.01332577076014</v>
      </c>
    </row>
    <row r="30" spans="1:24">
      <c r="A30" s="131" t="s">
        <v>150</v>
      </c>
      <c r="B30" s="35" t="s">
        <v>101</v>
      </c>
      <c r="C30" s="35">
        <f>+C29/C28</f>
        <v>23.022393306555749</v>
      </c>
      <c r="D30" s="26"/>
    </row>
    <row r="31" spans="1:24">
      <c r="A31" s="52"/>
      <c r="B31" s="26"/>
      <c r="C31" s="26"/>
      <c r="D31" s="26"/>
    </row>
    <row r="32" spans="1:24">
      <c r="A32" s="131" t="s">
        <v>143</v>
      </c>
      <c r="B32" s="35"/>
      <c r="C32" s="35"/>
      <c r="D32" s="35"/>
      <c r="E32" s="9"/>
      <c r="F32" s="9"/>
      <c r="G32" s="9"/>
      <c r="H32" s="9"/>
      <c r="I32" s="9"/>
      <c r="J32" s="9"/>
      <c r="K32" s="9"/>
      <c r="L32" s="9"/>
      <c r="M32" s="9"/>
      <c r="N32" s="9"/>
      <c r="O32" s="9"/>
      <c r="P32" s="9"/>
      <c r="Q32" s="9"/>
      <c r="R32" s="9"/>
      <c r="S32" s="9"/>
      <c r="T32" s="9"/>
      <c r="U32" s="9"/>
      <c r="V32" s="9"/>
      <c r="W32" s="9"/>
      <c r="X32" s="9"/>
    </row>
    <row r="33" spans="1:46">
      <c r="A33" s="35" t="s">
        <v>104</v>
      </c>
      <c r="B33" s="35"/>
      <c r="C33" s="35"/>
      <c r="D33" s="35">
        <f>D12</f>
        <v>720</v>
      </c>
      <c r="E33" s="35">
        <f t="shared" ref="E33:W33" si="7">E12</f>
        <v>1620</v>
      </c>
      <c r="F33" s="35">
        <f t="shared" si="7"/>
        <v>2808</v>
      </c>
      <c r="G33" s="35">
        <f t="shared" si="7"/>
        <v>3024</v>
      </c>
      <c r="H33" s="35">
        <f t="shared" si="7"/>
        <v>3024</v>
      </c>
      <c r="I33" s="35">
        <f t="shared" si="7"/>
        <v>3024</v>
      </c>
      <c r="J33" s="35">
        <f t="shared" si="7"/>
        <v>3024</v>
      </c>
      <c r="K33" s="35">
        <f t="shared" si="7"/>
        <v>3024</v>
      </c>
      <c r="L33" s="35">
        <f t="shared" si="7"/>
        <v>3024</v>
      </c>
      <c r="M33" s="35">
        <f t="shared" si="7"/>
        <v>3024</v>
      </c>
      <c r="N33" s="35">
        <f t="shared" si="7"/>
        <v>3024</v>
      </c>
      <c r="O33" s="35">
        <f t="shared" si="7"/>
        <v>3024</v>
      </c>
      <c r="P33" s="35">
        <f t="shared" si="7"/>
        <v>3024</v>
      </c>
      <c r="Q33" s="35">
        <f t="shared" si="7"/>
        <v>3024</v>
      </c>
      <c r="R33" s="35">
        <f t="shared" si="7"/>
        <v>3024</v>
      </c>
      <c r="S33" s="35">
        <f t="shared" si="7"/>
        <v>3024</v>
      </c>
      <c r="T33" s="35">
        <f t="shared" si="7"/>
        <v>3024</v>
      </c>
      <c r="U33" s="35">
        <f t="shared" si="7"/>
        <v>3024</v>
      </c>
      <c r="V33" s="35">
        <f t="shared" si="7"/>
        <v>3024</v>
      </c>
      <c r="W33" s="35">
        <f t="shared" si="7"/>
        <v>3024</v>
      </c>
      <c r="X33" s="35">
        <f>X12</f>
        <v>1008</v>
      </c>
    </row>
    <row r="34" spans="1:46">
      <c r="A34" s="35" t="s">
        <v>127</v>
      </c>
      <c r="B34" s="35"/>
      <c r="C34" s="35"/>
      <c r="D34" s="35">
        <f>'Assum-CFL'!$C$66*D33</f>
        <v>57.6</v>
      </c>
      <c r="E34" s="35">
        <f>'Assum-CFL'!$C$66*E33</f>
        <v>129.6</v>
      </c>
      <c r="F34" s="35">
        <f>'Assum-CFL'!$C$66*F33</f>
        <v>224.64000000000001</v>
      </c>
      <c r="G34" s="35">
        <f>'Assum-CFL'!$C$66*G33</f>
        <v>241.92000000000002</v>
      </c>
      <c r="H34" s="35">
        <f>'Assum-CFL'!$C$66*H33</f>
        <v>241.92000000000002</v>
      </c>
      <c r="I34" s="35">
        <f>'Assum-CFL'!$C$66*I33</f>
        <v>241.92000000000002</v>
      </c>
      <c r="J34" s="35">
        <f>'Assum-CFL'!$C$66*J33</f>
        <v>241.92000000000002</v>
      </c>
      <c r="K34" s="35">
        <f>'Assum-CFL'!$C$66*K33</f>
        <v>241.92000000000002</v>
      </c>
      <c r="L34" s="35">
        <f>'Assum-CFL'!$C$66*L33</f>
        <v>241.92000000000002</v>
      </c>
      <c r="M34" s="35">
        <f>'Assum-CFL'!$C$66*M33</f>
        <v>241.92000000000002</v>
      </c>
      <c r="N34" s="35">
        <f>'Assum-CFL'!$C$66*N33</f>
        <v>241.92000000000002</v>
      </c>
      <c r="O34" s="35">
        <f>'Assum-CFL'!$C$66*O33</f>
        <v>241.92000000000002</v>
      </c>
      <c r="P34" s="35">
        <f>'Assum-CFL'!$C$66*P33</f>
        <v>241.92000000000002</v>
      </c>
      <c r="Q34" s="35">
        <f>'Assum-CFL'!$C$66*Q33</f>
        <v>241.92000000000002</v>
      </c>
      <c r="R34" s="35">
        <f>'Assum-CFL'!$C$66*R33</f>
        <v>241.92000000000002</v>
      </c>
      <c r="S34" s="35">
        <f>'Assum-CFL'!$C$66*S33</f>
        <v>241.92000000000002</v>
      </c>
      <c r="T34" s="35">
        <f>'Assum-CFL'!$C$66*T33</f>
        <v>241.92000000000002</v>
      </c>
      <c r="U34" s="35">
        <f>'Assum-CFL'!$C$66*U33</f>
        <v>241.92000000000002</v>
      </c>
      <c r="V34" s="35">
        <f>'Assum-CFL'!$C$66*V33</f>
        <v>241.92000000000002</v>
      </c>
      <c r="W34" s="35">
        <f>'Assum-CFL'!$C$66*W33</f>
        <v>241.92000000000002</v>
      </c>
      <c r="X34" s="35">
        <f>'Assum-CFL'!$C$66*X33</f>
        <v>80.64</v>
      </c>
    </row>
    <row r="35" spans="1:46">
      <c r="A35" s="35" t="s">
        <v>129</v>
      </c>
      <c r="B35" s="35"/>
      <c r="C35" s="35"/>
      <c r="D35" s="35">
        <f>'Assum-CFL'!$C$67*(D33+D34)</f>
        <v>97.2</v>
      </c>
      <c r="E35" s="35">
        <f>'Assum-CFL'!$C$67*(E33+E34)</f>
        <v>218.7</v>
      </c>
      <c r="F35" s="35">
        <f>'Assum-CFL'!$C$67*(F33+F34)</f>
        <v>379.08</v>
      </c>
      <c r="G35" s="35">
        <f>'Assum-CFL'!$C$67*(G33+G34)</f>
        <v>408.24</v>
      </c>
      <c r="H35" s="35">
        <f>'Assum-CFL'!$C$67*(H33+H34)</f>
        <v>408.24</v>
      </c>
      <c r="I35" s="35">
        <f>'Assum-CFL'!$C$67*(I33+I34)</f>
        <v>408.24</v>
      </c>
      <c r="J35" s="35">
        <f>'Assum-CFL'!$C$67*(J33+J34)</f>
        <v>408.24</v>
      </c>
      <c r="K35" s="35">
        <f>'Assum-CFL'!$C$67*(K33+K34)</f>
        <v>408.24</v>
      </c>
      <c r="L35" s="35">
        <f>'Assum-CFL'!$C$67*(L33+L34)</f>
        <v>408.24</v>
      </c>
      <c r="M35" s="35">
        <f>'Assum-CFL'!$C$67*(M33+M34)</f>
        <v>408.24</v>
      </c>
      <c r="N35" s="35">
        <f>'Assum-CFL'!$C$67*(N33+N34)</f>
        <v>408.24</v>
      </c>
      <c r="O35" s="35">
        <f>'Assum-CFL'!$C$67*(O33+O34)</f>
        <v>408.24</v>
      </c>
      <c r="P35" s="35">
        <f>'Assum-CFL'!$C$67*(P33+P34)</f>
        <v>408.24</v>
      </c>
      <c r="Q35" s="35">
        <f>'Assum-CFL'!$C$67*(Q33+Q34)</f>
        <v>408.24</v>
      </c>
      <c r="R35" s="35">
        <f>'Assum-CFL'!$C$67*(R33+R34)</f>
        <v>408.24</v>
      </c>
      <c r="S35" s="35">
        <f>'Assum-CFL'!$C$67*(S33+S34)</f>
        <v>408.24</v>
      </c>
      <c r="T35" s="35">
        <f>'Assum-CFL'!$C$67*(T33+T34)</f>
        <v>408.24</v>
      </c>
      <c r="U35" s="35">
        <f>'Assum-CFL'!$C$67*(U33+U34)</f>
        <v>408.24</v>
      </c>
      <c r="V35" s="35">
        <f>'Assum-CFL'!$C$67*(V33+V34)</f>
        <v>408.24</v>
      </c>
      <c r="W35" s="35">
        <f>'Assum-CFL'!$C$67*(W33+W34)</f>
        <v>408.24</v>
      </c>
      <c r="X35" s="35">
        <f>'Assum-CFL'!$C$67*(X33+X34)</f>
        <v>136.08000000000001</v>
      </c>
    </row>
    <row r="36" spans="1:46">
      <c r="A36" s="35" t="s">
        <v>128</v>
      </c>
      <c r="B36" s="35"/>
      <c r="C36" s="35"/>
      <c r="D36" s="35">
        <f>D33+D34+D35</f>
        <v>874.80000000000007</v>
      </c>
      <c r="E36" s="35">
        <f t="shared" ref="E36:W36" si="8">E33+E34+E35</f>
        <v>1968.3</v>
      </c>
      <c r="F36" s="35">
        <f t="shared" si="8"/>
        <v>3411.72</v>
      </c>
      <c r="G36" s="35">
        <f t="shared" si="8"/>
        <v>3674.16</v>
      </c>
      <c r="H36" s="35">
        <f t="shared" si="8"/>
        <v>3674.16</v>
      </c>
      <c r="I36" s="35">
        <f t="shared" si="8"/>
        <v>3674.16</v>
      </c>
      <c r="J36" s="35">
        <f t="shared" si="8"/>
        <v>3674.16</v>
      </c>
      <c r="K36" s="35">
        <f t="shared" si="8"/>
        <v>3674.16</v>
      </c>
      <c r="L36" s="35">
        <f t="shared" si="8"/>
        <v>3674.16</v>
      </c>
      <c r="M36" s="35">
        <f t="shared" si="8"/>
        <v>3674.16</v>
      </c>
      <c r="N36" s="35">
        <f t="shared" si="8"/>
        <v>3674.16</v>
      </c>
      <c r="O36" s="35">
        <f t="shared" si="8"/>
        <v>3674.16</v>
      </c>
      <c r="P36" s="35">
        <f t="shared" si="8"/>
        <v>3674.16</v>
      </c>
      <c r="Q36" s="35">
        <f t="shared" si="8"/>
        <v>3674.16</v>
      </c>
      <c r="R36" s="35">
        <f t="shared" si="8"/>
        <v>3674.16</v>
      </c>
      <c r="S36" s="35">
        <f t="shared" si="8"/>
        <v>3674.16</v>
      </c>
      <c r="T36" s="35">
        <f t="shared" si="8"/>
        <v>3674.16</v>
      </c>
      <c r="U36" s="35">
        <f t="shared" si="8"/>
        <v>3674.16</v>
      </c>
      <c r="V36" s="35">
        <f t="shared" si="8"/>
        <v>3674.16</v>
      </c>
      <c r="W36" s="35">
        <f t="shared" si="8"/>
        <v>3674.16</v>
      </c>
      <c r="X36" s="35">
        <f>X33+X34+X35</f>
        <v>1224.72</v>
      </c>
    </row>
    <row r="37" spans="1:46">
      <c r="A37" s="35"/>
      <c r="B37" s="35"/>
      <c r="C37" s="35"/>
      <c r="D37" s="35"/>
      <c r="E37" s="9"/>
      <c r="F37" s="9"/>
      <c r="G37" s="9"/>
      <c r="H37" s="9"/>
      <c r="I37" s="9"/>
      <c r="J37" s="9"/>
      <c r="K37" s="9"/>
      <c r="L37" s="9"/>
      <c r="M37" s="9"/>
      <c r="N37" s="9"/>
      <c r="O37" s="9"/>
      <c r="P37" s="9"/>
      <c r="Q37" s="9"/>
      <c r="R37" s="9"/>
      <c r="S37" s="9"/>
      <c r="T37" s="9"/>
      <c r="U37" s="9"/>
      <c r="V37" s="9"/>
      <c r="W37" s="9"/>
      <c r="X37" s="9"/>
    </row>
    <row r="38" spans="1:46">
      <c r="A38" s="131" t="s">
        <v>144</v>
      </c>
      <c r="B38" s="35"/>
      <c r="C38" s="35"/>
      <c r="D38" s="35">
        <f t="shared" ref="D38:X38" si="9">D33+D11-D14-D15-D22</f>
        <v>5138.9125266736528</v>
      </c>
      <c r="E38" s="35">
        <f t="shared" si="9"/>
        <v>11729.800441015721</v>
      </c>
      <c r="F38" s="35">
        <f t="shared" si="9"/>
        <v>20600.947725227245</v>
      </c>
      <c r="G38" s="35">
        <f t="shared" si="9"/>
        <v>22181.189576869343</v>
      </c>
      <c r="H38" s="35">
        <f t="shared" si="9"/>
        <v>22155.079103287346</v>
      </c>
      <c r="I38" s="35">
        <f t="shared" si="9"/>
        <v>22125.104711901444</v>
      </c>
      <c r="J38" s="35">
        <f t="shared" si="9"/>
        <v>22090.577499996489</v>
      </c>
      <c r="K38" s="35">
        <f t="shared" si="9"/>
        <v>22050.676575556572</v>
      </c>
      <c r="L38" s="35">
        <f t="shared" si="9"/>
        <v>22004.42310868701</v>
      </c>
      <c r="M38" s="35">
        <f t="shared" si="9"/>
        <v>21950.649231756783</v>
      </c>
      <c r="N38" s="35">
        <f t="shared" si="9"/>
        <v>21887.960761524617</v>
      </c>
      <c r="O38" s="35">
        <f t="shared" si="9"/>
        <v>21814.692511500063</v>
      </c>
      <c r="P38" s="35">
        <f t="shared" si="9"/>
        <v>21728.854716809627</v>
      </c>
      <c r="Q38" s="35">
        <f t="shared" si="9"/>
        <v>21628.068798696604</v>
      </c>
      <c r="R38" s="35">
        <f t="shared" si="9"/>
        <v>21509.490341652734</v>
      </c>
      <c r="S38" s="35">
        <f t="shared" si="9"/>
        <v>21369.716731266948</v>
      </c>
      <c r="T38" s="35">
        <f t="shared" si="9"/>
        <v>21204.676391028785</v>
      </c>
      <c r="U38" s="35">
        <f t="shared" si="9"/>
        <v>21009.495944559028</v>
      </c>
      <c r="V38" s="35">
        <f t="shared" si="9"/>
        <v>20778.340895680205</v>
      </c>
      <c r="W38" s="35">
        <f t="shared" si="9"/>
        <v>20504.224537930579</v>
      </c>
      <c r="X38" s="35">
        <f t="shared" si="9"/>
        <v>5062.7269908717617</v>
      </c>
    </row>
    <row r="39" spans="1:46">
      <c r="A39" s="131" t="s">
        <v>121</v>
      </c>
      <c r="B39" s="35"/>
      <c r="C39" s="35"/>
      <c r="D39" s="35">
        <f t="shared" ref="D39:X39" si="10">D38-D20-D21-D24</f>
        <v>4950.4819543288986</v>
      </c>
      <c r="E39" s="35">
        <f t="shared" si="10"/>
        <v>11523.651445164729</v>
      </c>
      <c r="F39" s="35">
        <f t="shared" si="10"/>
        <v>20393.60208719454</v>
      </c>
      <c r="G39" s="35">
        <f t="shared" si="10"/>
        <v>21988.138303433225</v>
      </c>
      <c r="H39" s="35">
        <f t="shared" si="10"/>
        <v>21979.870245013648</v>
      </c>
      <c r="I39" s="35">
        <f t="shared" si="10"/>
        <v>21967.711685206636</v>
      </c>
      <c r="J39" s="35">
        <f t="shared" si="10"/>
        <v>21950.96879410668</v>
      </c>
      <c r="K39" s="35">
        <f t="shared" si="10"/>
        <v>21916.805262736227</v>
      </c>
      <c r="L39" s="35">
        <f t="shared" si="10"/>
        <v>21870.239971772942</v>
      </c>
      <c r="M39" s="35">
        <f t="shared" si="10"/>
        <v>21816.101375364316</v>
      </c>
      <c r="N39" s="35">
        <f t="shared" si="10"/>
        <v>21752.985184663848</v>
      </c>
      <c r="O39" s="35">
        <f t="shared" si="10"/>
        <v>21679.214110128392</v>
      </c>
      <c r="P39" s="35">
        <f t="shared" si="10"/>
        <v>21592.783888078488</v>
      </c>
      <c r="Q39" s="35">
        <f t="shared" si="10"/>
        <v>21491.2985672904</v>
      </c>
      <c r="R39" s="35">
        <f t="shared" si="10"/>
        <v>21371.892912700558</v>
      </c>
      <c r="S39" s="35">
        <f t="shared" si="10"/>
        <v>21231.139355206924</v>
      </c>
      <c r="T39" s="35">
        <f t="shared" si="10"/>
        <v>21064.936402884025</v>
      </c>
      <c r="U39" s="35">
        <f t="shared" si="10"/>
        <v>20868.374812579499</v>
      </c>
      <c r="V39" s="35">
        <f t="shared" si="10"/>
        <v>20635.577081299216</v>
      </c>
      <c r="W39" s="35">
        <f t="shared" si="10"/>
        <v>20417.979086792508</v>
      </c>
      <c r="X39" s="35">
        <f t="shared" si="10"/>
        <v>5035.8616633707716</v>
      </c>
    </row>
    <row r="40" spans="1:46">
      <c r="A40" s="131" t="s">
        <v>122</v>
      </c>
      <c r="B40" s="35"/>
      <c r="C40" s="35"/>
      <c r="D40" s="35">
        <f>'Tax Calc_CFL CDM'!C17</f>
        <v>1614.7246010934168</v>
      </c>
      <c r="E40" s="35">
        <f>'Tax Calc_CFL CDM'!D17</f>
        <v>3871.9836553262271</v>
      </c>
      <c r="F40" s="35">
        <f>'Tax Calc_CFL CDM'!E17</f>
        <v>6897.7433122565799</v>
      </c>
      <c r="G40" s="35">
        <f>'Tax Calc_CFL CDM'!F17</f>
        <v>7449.0120037318657</v>
      </c>
      <c r="H40" s="35">
        <f>'Tax Calc_CFL CDM'!G17</f>
        <v>7454.1413691487451</v>
      </c>
      <c r="I40" s="35">
        <f>'Tax Calc_CFL CDM'!H17</f>
        <v>7456.7994508438514</v>
      </c>
      <c r="J40" s="35">
        <f>'Tax Calc_CFL CDM'!I17</f>
        <v>7456.9185464302418</v>
      </c>
      <c r="K40" s="35">
        <f>'Tax Calc_CFL CDM'!J17</f>
        <v>7450.2789258194061</v>
      </c>
      <c r="L40" s="35">
        <f>'Tax Calc_CFL CDM'!K17</f>
        <v>7438.7087166319334</v>
      </c>
      <c r="M40" s="35">
        <f>'Tax Calc_CFL CDM'!L17</f>
        <v>7423.9533295997844</v>
      </c>
      <c r="N40" s="35">
        <f>'Tax Calc_CFL CDM'!M17</f>
        <v>7405.6243397768221</v>
      </c>
      <c r="O40" s="35">
        <f>'Tax Calc_CFL CDM'!N17</f>
        <v>7383.2274712417757</v>
      </c>
      <c r="P40" s="35">
        <f>'Tax Calc_CFL CDM'!O17</f>
        <v>7356.1461826432005</v>
      </c>
      <c r="Q40" s="35">
        <f>'Tax Calc_CFL CDM'!P17</f>
        <v>7323.6213153204944</v>
      </c>
      <c r="R40" s="35">
        <f>'Tax Calc_CFL CDM'!Q17</f>
        <v>7284.7261183831642</v>
      </c>
      <c r="S40" s="35">
        <f>'Tax Calc_CFL CDM'!R17</f>
        <v>7238.3358132340827</v>
      </c>
      <c r="T40" s="35">
        <f>'Tax Calc_CFL CDM'!S17</f>
        <v>7183.090679995601</v>
      </c>
      <c r="U40" s="35">
        <f>'Tax Calc_CFL CDM'!T17</f>
        <v>7117.3514341813216</v>
      </c>
      <c r="V40" s="35">
        <f>'Tax Calc_CFL CDM'!U17</f>
        <v>7039.1454066511569</v>
      </c>
      <c r="W40" s="35">
        <f>'Tax Calc_CFL CDM'!V17</f>
        <v>6946.2496904945028</v>
      </c>
      <c r="X40" s="35">
        <f>'Tax Calc_CFL CDM'!W17</f>
        <v>1708.5843932003138</v>
      </c>
    </row>
    <row r="41" spans="1:46">
      <c r="A41" s="131" t="s">
        <v>125</v>
      </c>
      <c r="B41" s="35"/>
      <c r="C41" s="35"/>
      <c r="D41" s="35">
        <f>D39-D40</f>
        <v>3335.7573532354818</v>
      </c>
      <c r="E41" s="35">
        <f t="shared" ref="E41:W41" si="11">E39-E40</f>
        <v>7651.6677898385024</v>
      </c>
      <c r="F41" s="35">
        <f t="shared" si="11"/>
        <v>13495.85877493796</v>
      </c>
      <c r="G41" s="35">
        <f t="shared" si="11"/>
        <v>14539.126299701358</v>
      </c>
      <c r="H41" s="35">
        <f t="shared" si="11"/>
        <v>14525.728875864903</v>
      </c>
      <c r="I41" s="35">
        <f t="shared" si="11"/>
        <v>14510.912234362784</v>
      </c>
      <c r="J41" s="35">
        <f t="shared" si="11"/>
        <v>14494.050247676438</v>
      </c>
      <c r="K41" s="35">
        <f t="shared" si="11"/>
        <v>14466.526336916821</v>
      </c>
      <c r="L41" s="35">
        <f t="shared" si="11"/>
        <v>14431.53125514101</v>
      </c>
      <c r="M41" s="35">
        <f t="shared" si="11"/>
        <v>14392.148045764532</v>
      </c>
      <c r="N41" s="35">
        <f t="shared" si="11"/>
        <v>14347.360844887025</v>
      </c>
      <c r="O41" s="35">
        <f t="shared" si="11"/>
        <v>14295.986638886618</v>
      </c>
      <c r="P41" s="35">
        <f t="shared" si="11"/>
        <v>14236.637705435287</v>
      </c>
      <c r="Q41" s="35">
        <f t="shared" si="11"/>
        <v>14167.677251969904</v>
      </c>
      <c r="R41" s="35">
        <f t="shared" si="11"/>
        <v>14087.166794317392</v>
      </c>
      <c r="S41" s="35">
        <f t="shared" si="11"/>
        <v>13992.80354197284</v>
      </c>
      <c r="T41" s="35">
        <f t="shared" si="11"/>
        <v>13881.845722888424</v>
      </c>
      <c r="U41" s="35">
        <f t="shared" si="11"/>
        <v>13751.023378398178</v>
      </c>
      <c r="V41" s="35">
        <f t="shared" si="11"/>
        <v>13596.431674648058</v>
      </c>
      <c r="W41" s="35">
        <f t="shared" si="11"/>
        <v>13471.729396298004</v>
      </c>
      <c r="X41" s="35">
        <f>X39-X40</f>
        <v>3327.277270170458</v>
      </c>
    </row>
    <row r="42" spans="1:46">
      <c r="A42" s="131" t="s">
        <v>275</v>
      </c>
      <c r="B42" s="35"/>
      <c r="C42" s="35"/>
      <c r="D42" s="35">
        <v>0</v>
      </c>
      <c r="E42" s="35">
        <v>0</v>
      </c>
      <c r="F42" s="35">
        <v>0</v>
      </c>
      <c r="G42" s="35">
        <v>0</v>
      </c>
      <c r="H42" s="35">
        <v>0</v>
      </c>
      <c r="I42" s="35">
        <v>0</v>
      </c>
      <c r="J42" s="35">
        <v>0</v>
      </c>
      <c r="K42" s="35">
        <v>0</v>
      </c>
      <c r="L42" s="35">
        <v>0</v>
      </c>
      <c r="M42" s="35">
        <v>0</v>
      </c>
      <c r="N42" s="35">
        <v>0</v>
      </c>
      <c r="O42" s="35">
        <v>0</v>
      </c>
      <c r="P42" s="35">
        <v>0</v>
      </c>
      <c r="Q42" s="35">
        <v>0</v>
      </c>
      <c r="R42" s="35">
        <v>0</v>
      </c>
      <c r="S42" s="35">
        <v>0</v>
      </c>
      <c r="T42" s="35">
        <v>0</v>
      </c>
      <c r="U42" s="35">
        <v>0</v>
      </c>
      <c r="V42" s="35">
        <v>0</v>
      </c>
      <c r="W42" s="35">
        <v>0</v>
      </c>
      <c r="X42" s="35">
        <f>'Depreciation-CFL'!Y55</f>
        <v>112.68079999999999</v>
      </c>
    </row>
    <row r="43" spans="1:46">
      <c r="A43" s="131" t="s">
        <v>124</v>
      </c>
      <c r="B43" s="35"/>
      <c r="C43" s="35">
        <f>-'Assum-CFL'!C12</f>
        <v>-2257.3788</v>
      </c>
      <c r="D43" s="35">
        <f t="shared" ref="D43:W43" si="12">D41+D20+D21+D24+D25</f>
        <v>3524.187925580236</v>
      </c>
      <c r="E43" s="35">
        <f t="shared" si="12"/>
        <v>7857.8167856894925</v>
      </c>
      <c r="F43" s="35">
        <f t="shared" si="12"/>
        <v>13703.204412970666</v>
      </c>
      <c r="G43" s="35">
        <f t="shared" si="12"/>
        <v>14732.177573137476</v>
      </c>
      <c r="H43" s="35">
        <f t="shared" si="12"/>
        <v>14700.937734138601</v>
      </c>
      <c r="I43" s="35">
        <f t="shared" si="12"/>
        <v>14668.305261057591</v>
      </c>
      <c r="J43" s="35">
        <f t="shared" si="12"/>
        <v>14633.658953566246</v>
      </c>
      <c r="K43" s="35">
        <f t="shared" si="12"/>
        <v>14600.397649737168</v>
      </c>
      <c r="L43" s="35">
        <f t="shared" si="12"/>
        <v>14565.714392055077</v>
      </c>
      <c r="M43" s="35">
        <f t="shared" si="12"/>
        <v>14526.695902156996</v>
      </c>
      <c r="N43" s="35">
        <f t="shared" si="12"/>
        <v>14482.336421747794</v>
      </c>
      <c r="O43" s="35">
        <f t="shared" si="12"/>
        <v>14431.465040258288</v>
      </c>
      <c r="P43" s="35">
        <f t="shared" si="12"/>
        <v>14372.708534166426</v>
      </c>
      <c r="Q43" s="35">
        <f t="shared" si="12"/>
        <v>14304.447483376109</v>
      </c>
      <c r="R43" s="35">
        <f t="shared" si="12"/>
        <v>14224.764223269567</v>
      </c>
      <c r="S43" s="35">
        <f t="shared" si="12"/>
        <v>14131.380918032864</v>
      </c>
      <c r="T43" s="35">
        <f t="shared" si="12"/>
        <v>14021.585711033184</v>
      </c>
      <c r="U43" s="35">
        <f t="shared" si="12"/>
        <v>13892.144510377708</v>
      </c>
      <c r="V43" s="35">
        <f t="shared" si="12"/>
        <v>13739.195489029049</v>
      </c>
      <c r="W43" s="35">
        <f t="shared" si="12"/>
        <v>13557.974847436071</v>
      </c>
      <c r="X43" s="35">
        <f>X41+X20+X21+X24+X25+X42</f>
        <v>3579.5041976714479</v>
      </c>
    </row>
    <row r="44" spans="1:46">
      <c r="A44" s="131" t="s">
        <v>237</v>
      </c>
      <c r="B44" s="35"/>
      <c r="C44" s="35">
        <f>C43</f>
        <v>-2257.3788</v>
      </c>
      <c r="D44" s="35">
        <f>IF(D43&gt;0,D43,0)</f>
        <v>3524.187925580236</v>
      </c>
      <c r="E44" s="35">
        <f t="shared" ref="E44:X44" si="13">IF(E43&gt;0,E43,0)</f>
        <v>7857.8167856894925</v>
      </c>
      <c r="F44" s="35">
        <f t="shared" si="13"/>
        <v>13703.204412970666</v>
      </c>
      <c r="G44" s="35">
        <f t="shared" si="13"/>
        <v>14732.177573137476</v>
      </c>
      <c r="H44" s="35">
        <f t="shared" si="13"/>
        <v>14700.937734138601</v>
      </c>
      <c r="I44" s="35">
        <f t="shared" si="13"/>
        <v>14668.305261057591</v>
      </c>
      <c r="J44" s="35">
        <f t="shared" si="13"/>
        <v>14633.658953566246</v>
      </c>
      <c r="K44" s="35">
        <f t="shared" si="13"/>
        <v>14600.397649737168</v>
      </c>
      <c r="L44" s="35">
        <f t="shared" si="13"/>
        <v>14565.714392055077</v>
      </c>
      <c r="M44" s="35">
        <f t="shared" si="13"/>
        <v>14526.695902156996</v>
      </c>
      <c r="N44" s="35">
        <f t="shared" si="13"/>
        <v>14482.336421747794</v>
      </c>
      <c r="O44" s="35">
        <f t="shared" si="13"/>
        <v>14431.465040258288</v>
      </c>
      <c r="P44" s="35">
        <f t="shared" si="13"/>
        <v>14372.708534166426</v>
      </c>
      <c r="Q44" s="35">
        <f t="shared" si="13"/>
        <v>14304.447483376109</v>
      </c>
      <c r="R44" s="35">
        <f t="shared" si="13"/>
        <v>14224.764223269567</v>
      </c>
      <c r="S44" s="35">
        <f t="shared" si="13"/>
        <v>14131.380918032864</v>
      </c>
      <c r="T44" s="35">
        <f t="shared" si="13"/>
        <v>14021.585711033184</v>
      </c>
      <c r="U44" s="35">
        <f t="shared" si="13"/>
        <v>13892.144510377708</v>
      </c>
      <c r="V44" s="35">
        <f t="shared" si="13"/>
        <v>13739.195489029049</v>
      </c>
      <c r="W44" s="35">
        <f t="shared" si="13"/>
        <v>13557.974847436071</v>
      </c>
      <c r="X44" s="35">
        <f t="shared" si="13"/>
        <v>3579.5041976714479</v>
      </c>
    </row>
    <row r="45" spans="1:46">
      <c r="A45" s="52"/>
      <c r="B45" s="26" t="s">
        <v>126</v>
      </c>
      <c r="C45" s="53">
        <f>IRR(C44:X44)</f>
        <v>2.3704640282841916</v>
      </c>
      <c r="D45" s="26"/>
    </row>
    <row r="46" spans="1:46">
      <c r="A46" s="52"/>
      <c r="B46" s="26"/>
      <c r="C46" s="53"/>
      <c r="D46" s="26"/>
    </row>
    <row r="47" spans="1:46">
      <c r="C47" s="28"/>
      <c r="D47" s="28"/>
      <c r="E47" s="15"/>
      <c r="F47" s="15"/>
      <c r="G47" s="15"/>
      <c r="H47" s="15"/>
      <c r="I47" s="15"/>
      <c r="J47" s="15"/>
      <c r="K47" s="15"/>
      <c r="L47" s="15"/>
      <c r="M47" s="15"/>
      <c r="N47" s="15"/>
      <c r="O47" s="15"/>
      <c r="P47" s="15"/>
      <c r="Q47" s="15"/>
      <c r="R47" s="15"/>
      <c r="S47" s="15"/>
      <c r="T47" s="15"/>
      <c r="U47" s="15"/>
      <c r="V47" s="26"/>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row>
    <row r="48" spans="1:46">
      <c r="A48" s="54" t="s">
        <v>113</v>
      </c>
      <c r="B48" s="54"/>
      <c r="C48" s="54"/>
      <c r="D48" s="55"/>
      <c r="E48" s="55"/>
      <c r="F48" s="55"/>
      <c r="G48" s="55"/>
      <c r="H48" s="56"/>
      <c r="I48" s="55"/>
      <c r="J48" s="55"/>
      <c r="K48" s="56"/>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row>
    <row r="49" spans="1:46" ht="13.5" customHeight="1">
      <c r="A49" s="198" t="s">
        <v>171</v>
      </c>
      <c r="B49" s="198"/>
      <c r="C49" s="198"/>
      <c r="D49" s="198"/>
      <c r="E49" s="56"/>
      <c r="F49" s="199" t="s">
        <v>172</v>
      </c>
      <c r="G49" s="199"/>
      <c r="H49" s="199"/>
      <c r="I49" s="57">
        <f>10000/C52</f>
        <v>7.8277886497064575</v>
      </c>
      <c r="J49" s="55" t="s">
        <v>173</v>
      </c>
      <c r="K49" s="56"/>
      <c r="L49" s="29"/>
      <c r="M49" s="29"/>
      <c r="N49" s="29"/>
      <c r="O49" s="29"/>
      <c r="P49" s="29"/>
      <c r="Q49" s="29"/>
      <c r="R49" s="29"/>
      <c r="S49" s="29"/>
      <c r="T49" s="29"/>
      <c r="U49" s="29"/>
      <c r="V49" s="29"/>
      <c r="W49" s="29"/>
      <c r="X49" s="29"/>
      <c r="Y49" s="15"/>
      <c r="Z49" s="15"/>
      <c r="AA49" s="15"/>
      <c r="AB49" s="15"/>
      <c r="AC49" s="15"/>
      <c r="AD49" s="15"/>
      <c r="AE49" s="15"/>
      <c r="AF49" s="15"/>
      <c r="AG49" s="15"/>
      <c r="AH49" s="15"/>
      <c r="AI49" s="15"/>
      <c r="AJ49" s="15"/>
      <c r="AK49" s="15"/>
      <c r="AL49" s="15"/>
      <c r="AM49" s="15"/>
      <c r="AN49" s="15"/>
      <c r="AO49" s="15"/>
      <c r="AP49" s="15"/>
      <c r="AQ49" s="15"/>
      <c r="AR49" s="15"/>
      <c r="AS49" s="15"/>
      <c r="AT49" s="15"/>
    </row>
    <row r="50" spans="1:46">
      <c r="A50" s="58" t="s">
        <v>164</v>
      </c>
      <c r="B50" s="58"/>
      <c r="C50" s="58">
        <v>40</v>
      </c>
      <c r="D50" s="55" t="s">
        <v>169</v>
      </c>
      <c r="E50" s="56"/>
      <c r="F50" s="200" t="s">
        <v>174</v>
      </c>
      <c r="G50" s="200"/>
      <c r="H50" s="200"/>
      <c r="I50" s="56">
        <f>(I49-7)*C52</f>
        <v>1057.4999999999995</v>
      </c>
      <c r="J50" s="56"/>
      <c r="K50" s="56"/>
      <c r="L50" s="29"/>
      <c r="M50" s="29"/>
      <c r="N50" s="29"/>
      <c r="O50" s="29"/>
      <c r="P50" s="29"/>
      <c r="Q50" s="29"/>
      <c r="R50" s="29"/>
      <c r="S50" s="29"/>
      <c r="T50" s="29"/>
      <c r="U50" s="29"/>
      <c r="V50" s="29"/>
      <c r="W50" s="29"/>
      <c r="X50" s="29"/>
      <c r="Y50" s="15"/>
      <c r="Z50" s="15"/>
      <c r="AA50" s="15"/>
      <c r="AB50" s="15"/>
      <c r="AC50" s="15"/>
      <c r="AD50" s="15"/>
      <c r="AE50" s="15"/>
      <c r="AF50" s="15"/>
      <c r="AG50" s="15"/>
      <c r="AH50" s="15"/>
      <c r="AI50" s="15"/>
      <c r="AJ50" s="15"/>
      <c r="AK50" s="15"/>
      <c r="AL50" s="15"/>
      <c r="AM50" s="15"/>
      <c r="AN50" s="15"/>
      <c r="AO50" s="15"/>
      <c r="AP50" s="15"/>
      <c r="AQ50" s="15"/>
      <c r="AR50" s="15"/>
      <c r="AS50" s="15"/>
      <c r="AT50" s="15"/>
    </row>
    <row r="51" spans="1:46">
      <c r="A51" s="58" t="s">
        <v>165</v>
      </c>
      <c r="B51" s="58"/>
      <c r="C51" s="58">
        <v>9</v>
      </c>
      <c r="D51" s="55" t="s">
        <v>169</v>
      </c>
      <c r="E51" s="56"/>
      <c r="F51" s="56"/>
      <c r="G51" s="56"/>
      <c r="H51" s="56"/>
      <c r="I51" s="56"/>
      <c r="J51" s="56"/>
      <c r="K51" s="56"/>
      <c r="L51" s="29"/>
      <c r="M51" s="29"/>
      <c r="N51" s="29"/>
      <c r="O51" s="29"/>
      <c r="P51" s="29"/>
      <c r="Q51" s="29"/>
      <c r="R51" s="29"/>
      <c r="S51" s="29"/>
      <c r="T51" s="29"/>
      <c r="U51" s="29"/>
      <c r="V51" s="29"/>
      <c r="W51" s="29"/>
      <c r="X51" s="29"/>
      <c r="Y51" s="15"/>
      <c r="Z51" s="15"/>
      <c r="AA51" s="15"/>
      <c r="AB51" s="15"/>
      <c r="AC51" s="15"/>
      <c r="AD51" s="15"/>
      <c r="AE51" s="15"/>
      <c r="AF51" s="15"/>
      <c r="AG51" s="15"/>
      <c r="AH51" s="15"/>
      <c r="AI51" s="15"/>
      <c r="AJ51" s="15"/>
      <c r="AK51" s="15"/>
      <c r="AL51" s="15"/>
      <c r="AM51" s="15"/>
      <c r="AN51" s="15"/>
      <c r="AO51" s="15"/>
      <c r="AP51" s="15"/>
      <c r="AQ51" s="15"/>
      <c r="AR51" s="15"/>
      <c r="AS51" s="15"/>
      <c r="AT51" s="15"/>
    </row>
    <row r="52" spans="1:46">
      <c r="A52" s="58" t="s">
        <v>166</v>
      </c>
      <c r="B52" s="58"/>
      <c r="C52" s="58">
        <f>365*3.5</f>
        <v>1277.5</v>
      </c>
      <c r="D52" s="55" t="s">
        <v>170</v>
      </c>
      <c r="E52" s="56"/>
      <c r="F52" s="56"/>
      <c r="G52" s="56"/>
      <c r="H52" s="56"/>
      <c r="I52" s="56"/>
      <c r="J52" s="56"/>
      <c r="K52" s="56"/>
      <c r="L52" s="29"/>
      <c r="M52" s="29"/>
      <c r="N52" s="29"/>
      <c r="O52" s="29"/>
      <c r="P52" s="29"/>
      <c r="Q52" s="29"/>
      <c r="R52" s="29"/>
      <c r="S52" s="29"/>
      <c r="T52" s="29"/>
      <c r="U52" s="29"/>
      <c r="V52" s="29"/>
      <c r="W52" s="29"/>
      <c r="X52" s="29"/>
      <c r="Y52" s="15"/>
      <c r="Z52" s="15"/>
      <c r="AA52" s="15"/>
      <c r="AB52" s="15"/>
      <c r="AC52" s="15"/>
      <c r="AD52" s="15"/>
      <c r="AE52" s="15"/>
      <c r="AF52" s="15"/>
      <c r="AG52" s="15"/>
      <c r="AH52" s="15"/>
      <c r="AI52" s="15"/>
      <c r="AJ52" s="15"/>
      <c r="AK52" s="15"/>
      <c r="AL52" s="15"/>
      <c r="AM52" s="15"/>
      <c r="AN52" s="15"/>
      <c r="AO52" s="15"/>
      <c r="AP52" s="15"/>
      <c r="AQ52" s="15"/>
      <c r="AR52" s="15"/>
      <c r="AS52" s="15"/>
      <c r="AT52" s="15"/>
    </row>
    <row r="53" spans="1:46">
      <c r="A53" s="58" t="s">
        <v>167</v>
      </c>
      <c r="B53" s="58"/>
      <c r="C53" s="60">
        <f>(C50-C51)*C52/(1-0.1)/1000000</f>
        <v>4.4002777777777773E-2</v>
      </c>
      <c r="D53" s="55" t="s">
        <v>168</v>
      </c>
      <c r="E53" s="56"/>
      <c r="F53" s="56"/>
      <c r="G53" s="56"/>
      <c r="H53" s="56"/>
      <c r="I53" s="56"/>
      <c r="J53" s="56"/>
      <c r="K53" s="56"/>
      <c r="L53" s="29"/>
      <c r="M53" s="29"/>
      <c r="N53" s="29"/>
      <c r="O53" s="29"/>
      <c r="P53" s="29"/>
      <c r="Q53" s="29"/>
      <c r="R53" s="29"/>
      <c r="S53" s="29"/>
      <c r="T53" s="29"/>
      <c r="U53" s="29"/>
      <c r="V53" s="29"/>
      <c r="W53" s="29"/>
      <c r="X53" s="29"/>
      <c r="Y53" s="15"/>
      <c r="Z53" s="15"/>
      <c r="AA53" s="15"/>
      <c r="AB53" s="15"/>
      <c r="AC53" s="15"/>
      <c r="AD53" s="15"/>
      <c r="AE53" s="15"/>
      <c r="AF53" s="15"/>
      <c r="AG53" s="15"/>
      <c r="AH53" s="15"/>
      <c r="AI53" s="15"/>
      <c r="AJ53" s="15"/>
      <c r="AK53" s="15"/>
      <c r="AL53" s="15"/>
      <c r="AM53" s="15"/>
      <c r="AN53" s="15"/>
      <c r="AO53" s="15"/>
      <c r="AP53" s="15"/>
      <c r="AQ53" s="15"/>
      <c r="AR53" s="15"/>
      <c r="AS53" s="15"/>
      <c r="AT53" s="15"/>
    </row>
    <row r="54" spans="1:46">
      <c r="A54" s="55" t="s">
        <v>192</v>
      </c>
      <c r="B54" s="55"/>
      <c r="C54" s="69">
        <f>'Assum-CFL'!C69</f>
        <v>0.84260000000000002</v>
      </c>
      <c r="D54" s="55"/>
      <c r="E54" s="56"/>
      <c r="F54" s="56"/>
      <c r="G54" s="56"/>
      <c r="H54" s="56"/>
      <c r="I54" s="56"/>
      <c r="J54" s="56"/>
      <c r="K54" s="56"/>
      <c r="L54" s="29"/>
      <c r="M54" s="29"/>
      <c r="N54" s="29"/>
      <c r="O54" s="29"/>
      <c r="P54" s="29"/>
      <c r="Q54" s="29"/>
      <c r="R54" s="29"/>
      <c r="S54" s="29"/>
      <c r="T54" s="29"/>
      <c r="U54" s="29"/>
      <c r="V54" s="29"/>
      <c r="W54" s="29"/>
      <c r="X54" s="29"/>
      <c r="Y54" s="15"/>
      <c r="Z54" s="15"/>
      <c r="AA54" s="15"/>
      <c r="AB54" s="15"/>
      <c r="AC54" s="15"/>
      <c r="AD54" s="15"/>
      <c r="AE54" s="15"/>
      <c r="AF54" s="15"/>
      <c r="AG54" s="15"/>
      <c r="AH54" s="15"/>
      <c r="AI54" s="15"/>
      <c r="AJ54" s="15"/>
      <c r="AK54" s="15"/>
      <c r="AL54" s="15"/>
      <c r="AM54" s="15"/>
      <c r="AN54" s="15"/>
      <c r="AO54" s="15"/>
      <c r="AP54" s="15"/>
      <c r="AQ54" s="15"/>
      <c r="AR54" s="15"/>
      <c r="AS54" s="15"/>
      <c r="AT54" s="15"/>
    </row>
    <row r="55" spans="1:46">
      <c r="A55" s="55"/>
      <c r="B55" s="55"/>
      <c r="C55" s="55"/>
      <c r="D55" s="55"/>
      <c r="E55" s="56"/>
      <c r="F55" s="56"/>
      <c r="G55" s="56"/>
      <c r="H55" s="56"/>
      <c r="I55" s="56"/>
      <c r="J55" s="56"/>
      <c r="K55" s="56"/>
      <c r="L55" s="29"/>
      <c r="M55" s="29"/>
      <c r="N55" s="29"/>
      <c r="O55" s="29"/>
      <c r="P55" s="29"/>
      <c r="Q55" s="29"/>
      <c r="R55" s="29"/>
      <c r="S55" s="29"/>
      <c r="T55" s="29"/>
      <c r="U55" s="29"/>
      <c r="V55" s="29"/>
      <c r="W55" s="29"/>
      <c r="X55" s="29"/>
      <c r="Y55" s="15"/>
      <c r="Z55" s="15"/>
      <c r="AA55" s="15"/>
      <c r="AB55" s="15"/>
      <c r="AC55" s="15"/>
      <c r="AD55" s="15"/>
      <c r="AE55" s="15"/>
      <c r="AF55" s="15"/>
      <c r="AG55" s="15"/>
      <c r="AH55" s="15"/>
      <c r="AI55" s="15"/>
      <c r="AJ55" s="15"/>
      <c r="AK55" s="15"/>
      <c r="AL55" s="15"/>
      <c r="AM55" s="15"/>
      <c r="AN55" s="15"/>
      <c r="AO55" s="15"/>
      <c r="AP55" s="15"/>
      <c r="AQ55" s="15"/>
      <c r="AR55" s="15"/>
      <c r="AS55" s="15"/>
      <c r="AT55" s="15"/>
    </row>
    <row r="56" spans="1:46">
      <c r="A56" s="58"/>
      <c r="B56" s="58"/>
      <c r="C56" s="58"/>
      <c r="D56" s="55"/>
      <c r="E56" s="56"/>
      <c r="F56" s="56"/>
      <c r="G56" s="56"/>
      <c r="H56" s="56"/>
      <c r="I56" s="56"/>
      <c r="J56" s="56"/>
      <c r="K56" s="56"/>
      <c r="L56" s="29"/>
      <c r="M56" s="29"/>
      <c r="N56" s="29"/>
      <c r="O56" s="29"/>
      <c r="P56" s="29"/>
      <c r="Q56" s="29"/>
      <c r="R56" s="29"/>
      <c r="S56" s="29"/>
      <c r="T56" s="29"/>
      <c r="U56" s="29"/>
      <c r="V56" s="29"/>
      <c r="W56" s="29"/>
      <c r="X56" s="29"/>
      <c r="Y56" s="15"/>
      <c r="Z56" s="15"/>
      <c r="AA56" s="15"/>
      <c r="AB56" s="15"/>
      <c r="AC56" s="15"/>
      <c r="AD56" s="15"/>
      <c r="AE56" s="15"/>
      <c r="AF56" s="15"/>
      <c r="AG56" s="15"/>
      <c r="AH56" s="15"/>
      <c r="AI56" s="15"/>
      <c r="AJ56" s="15"/>
      <c r="AK56" s="15"/>
      <c r="AL56" s="15"/>
      <c r="AM56" s="15"/>
      <c r="AN56" s="15"/>
      <c r="AO56" s="15"/>
      <c r="AP56" s="15"/>
      <c r="AQ56" s="15"/>
      <c r="AR56" s="15"/>
      <c r="AS56" s="15"/>
      <c r="AT56" s="15"/>
    </row>
    <row r="57" spans="1:46">
      <c r="A57" s="54" t="s">
        <v>114</v>
      </c>
      <c r="B57" s="58"/>
      <c r="C57" s="60">
        <f>C53*C54</f>
        <v>3.707674055555555E-2</v>
      </c>
      <c r="D57" s="55" t="s">
        <v>115</v>
      </c>
      <c r="E57" s="56"/>
      <c r="F57" s="56"/>
      <c r="G57" s="56"/>
      <c r="H57" s="56"/>
      <c r="I57" s="56"/>
      <c r="J57" s="56"/>
      <c r="K57" s="56"/>
      <c r="L57" s="29"/>
      <c r="M57" s="29"/>
      <c r="N57" s="29"/>
      <c r="O57" s="29"/>
      <c r="P57" s="29"/>
      <c r="Q57" s="29"/>
      <c r="R57" s="29"/>
      <c r="S57" s="29"/>
      <c r="T57" s="29"/>
      <c r="U57" s="29"/>
      <c r="V57" s="29"/>
      <c r="W57" s="29"/>
      <c r="X57" s="29"/>
      <c r="Y57" s="15"/>
      <c r="Z57" s="15"/>
      <c r="AA57" s="15"/>
      <c r="AB57" s="15"/>
      <c r="AC57" s="15"/>
      <c r="AD57" s="15"/>
      <c r="AE57" s="15"/>
      <c r="AF57" s="15"/>
      <c r="AG57" s="15"/>
      <c r="AH57" s="15"/>
      <c r="AI57" s="15"/>
      <c r="AJ57" s="15"/>
      <c r="AK57" s="15"/>
      <c r="AL57" s="15"/>
      <c r="AM57" s="15"/>
      <c r="AN57" s="15"/>
      <c r="AO57" s="15"/>
      <c r="AP57" s="15"/>
      <c r="AQ57" s="15"/>
      <c r="AR57" s="15"/>
      <c r="AS57" s="15"/>
      <c r="AT57" s="15"/>
    </row>
    <row r="58" spans="1:46">
      <c r="A58" s="54" t="s">
        <v>116</v>
      </c>
      <c r="B58" s="58"/>
      <c r="C58" s="54"/>
      <c r="D58" s="55"/>
      <c r="E58" s="56"/>
      <c r="F58" s="56"/>
      <c r="G58" s="56"/>
      <c r="H58" s="56"/>
      <c r="I58" s="56"/>
      <c r="J58" s="56"/>
      <c r="K58" s="56"/>
      <c r="L58" s="29"/>
      <c r="M58" s="29"/>
      <c r="N58" s="29"/>
      <c r="O58" s="29"/>
      <c r="P58" s="29"/>
      <c r="Q58" s="29"/>
      <c r="R58" s="29"/>
      <c r="S58" s="29"/>
      <c r="T58" s="29"/>
      <c r="U58" s="29"/>
      <c r="V58" s="29"/>
      <c r="W58" s="29"/>
      <c r="X58" s="29"/>
      <c r="Y58" s="15"/>
      <c r="Z58" s="15"/>
      <c r="AA58" s="15"/>
      <c r="AB58" s="15"/>
      <c r="AC58" s="15"/>
      <c r="AD58" s="15"/>
      <c r="AE58" s="15"/>
      <c r="AF58" s="15"/>
      <c r="AG58" s="15"/>
      <c r="AH58" s="15"/>
      <c r="AI58" s="15"/>
      <c r="AJ58" s="15"/>
      <c r="AK58" s="15"/>
      <c r="AL58" s="15"/>
      <c r="AM58" s="15"/>
      <c r="AN58" s="15"/>
      <c r="AO58" s="15"/>
      <c r="AP58" s="15"/>
      <c r="AQ58" s="15"/>
      <c r="AR58" s="15"/>
      <c r="AS58" s="15"/>
      <c r="AT58" s="15"/>
    </row>
    <row r="59" spans="1:46">
      <c r="A59" s="54"/>
      <c r="B59" s="58"/>
      <c r="C59" s="57">
        <f>C57*'Assum-CFL'!$C$70*'Assum-CFL'!$C$71</f>
        <v>33.636019031999993</v>
      </c>
      <c r="D59" s="55">
        <f t="shared" ref="D59:J59" si="14">C59</f>
        <v>33.636019031999993</v>
      </c>
      <c r="E59" s="55">
        <f t="shared" si="14"/>
        <v>33.636019031999993</v>
      </c>
      <c r="F59" s="55">
        <f t="shared" si="14"/>
        <v>33.636019031999993</v>
      </c>
      <c r="G59" s="55">
        <f t="shared" si="14"/>
        <v>33.636019031999993</v>
      </c>
      <c r="H59" s="55">
        <f t="shared" si="14"/>
        <v>33.636019031999993</v>
      </c>
      <c r="I59" s="55">
        <f t="shared" si="14"/>
        <v>33.636019031999993</v>
      </c>
      <c r="J59" s="55">
        <f t="shared" si="14"/>
        <v>33.636019031999993</v>
      </c>
      <c r="K59" s="55">
        <f>J59*(I49-7)</f>
        <v>27.843514775999978</v>
      </c>
      <c r="L59" s="29"/>
      <c r="M59" s="29"/>
      <c r="N59" s="29"/>
      <c r="O59" s="29"/>
      <c r="P59" s="29"/>
      <c r="Q59" s="29"/>
      <c r="R59" s="29"/>
      <c r="S59" s="29"/>
      <c r="T59" s="29"/>
      <c r="U59" s="29"/>
      <c r="V59" s="29"/>
      <c r="W59" s="29"/>
      <c r="X59" s="29"/>
      <c r="Y59" s="15"/>
      <c r="Z59" s="15"/>
      <c r="AA59" s="15"/>
      <c r="AB59" s="15"/>
      <c r="AC59" s="15"/>
      <c r="AD59" s="15"/>
      <c r="AE59" s="15"/>
      <c r="AF59" s="15"/>
      <c r="AG59" s="15"/>
      <c r="AH59" s="15"/>
      <c r="AI59" s="15"/>
      <c r="AJ59" s="15"/>
      <c r="AK59" s="15"/>
      <c r="AL59" s="15"/>
      <c r="AM59" s="15"/>
      <c r="AN59" s="15"/>
      <c r="AO59" s="15"/>
      <c r="AP59" s="15"/>
      <c r="AQ59" s="15"/>
      <c r="AR59" s="15"/>
      <c r="AS59" s="15"/>
      <c r="AT59" s="15"/>
    </row>
    <row r="60" spans="1:46">
      <c r="A60" s="54" t="s">
        <v>195</v>
      </c>
      <c r="B60" s="58"/>
      <c r="C60" s="55">
        <f>1/1.08</f>
        <v>0.92592592592592582</v>
      </c>
      <c r="D60" s="55">
        <f>C60/1.08</f>
        <v>0.8573388203017831</v>
      </c>
      <c r="E60" s="55">
        <f t="shared" ref="E60:J60" si="15">D60/1.08</f>
        <v>0.79383224102016947</v>
      </c>
      <c r="F60" s="55">
        <f t="shared" si="15"/>
        <v>0.73502985279645316</v>
      </c>
      <c r="G60" s="55">
        <f t="shared" si="15"/>
        <v>0.68058319703375292</v>
      </c>
      <c r="H60" s="55">
        <f t="shared" si="15"/>
        <v>0.63016962688310452</v>
      </c>
      <c r="I60" s="55">
        <f t="shared" si="15"/>
        <v>0.58349039526213375</v>
      </c>
      <c r="J60" s="55">
        <f t="shared" si="15"/>
        <v>0.54026888450197563</v>
      </c>
      <c r="K60" s="55">
        <f>J60/1.08</f>
        <v>0.50024896713145883</v>
      </c>
      <c r="L60" s="29"/>
      <c r="M60" s="29"/>
      <c r="N60" s="29"/>
      <c r="O60" s="29"/>
      <c r="P60" s="29"/>
      <c r="Q60" s="29"/>
      <c r="R60" s="29"/>
      <c r="S60" s="29"/>
      <c r="T60" s="29"/>
      <c r="U60" s="29"/>
      <c r="V60" s="29"/>
      <c r="W60" s="29"/>
      <c r="X60" s="29"/>
      <c r="Y60" s="15"/>
      <c r="Z60" s="15"/>
      <c r="AA60" s="15"/>
      <c r="AB60" s="15"/>
      <c r="AC60" s="15"/>
      <c r="AD60" s="15"/>
      <c r="AE60" s="15"/>
      <c r="AF60" s="15"/>
      <c r="AG60" s="15"/>
      <c r="AH60" s="15"/>
      <c r="AI60" s="15"/>
      <c r="AJ60" s="15"/>
      <c r="AK60" s="15"/>
      <c r="AL60" s="15"/>
      <c r="AM60" s="15"/>
      <c r="AN60" s="15"/>
      <c r="AO60" s="15"/>
      <c r="AP60" s="15"/>
      <c r="AQ60" s="15"/>
      <c r="AR60" s="15"/>
      <c r="AS60" s="15"/>
      <c r="AT60" s="15"/>
    </row>
    <row r="61" spans="1:46">
      <c r="A61" s="54" t="s">
        <v>117</v>
      </c>
      <c r="B61" s="58"/>
      <c r="C61" s="57">
        <f>C59*C60</f>
        <v>31.144462066666655</v>
      </c>
      <c r="D61" s="57">
        <f t="shared" ref="D61:J61" si="16">D59*D60</f>
        <v>28.837464876543198</v>
      </c>
      <c r="E61" s="57">
        <f t="shared" si="16"/>
        <v>26.701356367169627</v>
      </c>
      <c r="F61" s="57">
        <f t="shared" si="16"/>
        <v>24.723478117749654</v>
      </c>
      <c r="G61" s="57">
        <f t="shared" si="16"/>
        <v>22.892109368286714</v>
      </c>
      <c r="H61" s="57">
        <f t="shared" si="16"/>
        <v>21.196397563228437</v>
      </c>
      <c r="I61" s="57">
        <f t="shared" si="16"/>
        <v>19.62629404002633</v>
      </c>
      <c r="J61" s="57">
        <f t="shared" si="16"/>
        <v>18.172494481505858</v>
      </c>
      <c r="K61" s="57">
        <f>K59*K60</f>
        <v>13.928689508003501</v>
      </c>
      <c r="L61" s="29"/>
      <c r="M61" s="29"/>
      <c r="N61" s="29"/>
      <c r="O61" s="29"/>
      <c r="P61" s="29"/>
      <c r="Q61" s="29"/>
      <c r="R61" s="29"/>
      <c r="S61" s="29"/>
      <c r="T61" s="29"/>
      <c r="U61" s="29"/>
      <c r="V61" s="29"/>
      <c r="W61" s="29"/>
      <c r="X61" s="29"/>
      <c r="Y61" s="15"/>
      <c r="Z61" s="15"/>
      <c r="AA61" s="15"/>
      <c r="AB61" s="15"/>
      <c r="AC61" s="15"/>
      <c r="AD61" s="15"/>
      <c r="AE61" s="15"/>
      <c r="AF61" s="15"/>
      <c r="AG61" s="15"/>
      <c r="AH61" s="15"/>
      <c r="AI61" s="15"/>
      <c r="AJ61" s="15"/>
      <c r="AK61" s="15"/>
      <c r="AL61" s="15"/>
      <c r="AM61" s="15"/>
      <c r="AN61" s="15"/>
      <c r="AO61" s="15"/>
      <c r="AP61" s="15"/>
      <c r="AQ61" s="15"/>
      <c r="AR61" s="15"/>
      <c r="AS61" s="15"/>
      <c r="AT61" s="15"/>
    </row>
    <row r="62" spans="1:46">
      <c r="A62" s="58" t="s">
        <v>118</v>
      </c>
      <c r="B62" s="55">
        <f>SUM(C61:K61)</f>
        <v>207.22274638917997</v>
      </c>
      <c r="C62" s="54" t="s">
        <v>101</v>
      </c>
      <c r="D62" s="55"/>
      <c r="E62" s="56"/>
      <c r="F62" s="56"/>
      <c r="G62" s="56"/>
      <c r="H62" s="56"/>
      <c r="I62" s="56"/>
      <c r="J62" s="56"/>
      <c r="K62" s="56"/>
      <c r="L62" s="29"/>
      <c r="M62" s="29"/>
      <c r="N62" s="29"/>
      <c r="O62" s="29"/>
      <c r="P62" s="29"/>
      <c r="Q62" s="29"/>
      <c r="R62" s="29"/>
      <c r="S62" s="29"/>
      <c r="T62" s="29"/>
      <c r="U62" s="29"/>
      <c r="V62" s="29"/>
      <c r="W62" s="29"/>
      <c r="X62" s="29"/>
      <c r="Y62" s="15"/>
      <c r="Z62" s="15"/>
      <c r="AA62" s="15"/>
      <c r="AB62" s="15"/>
      <c r="AC62" s="15"/>
      <c r="AD62" s="15"/>
      <c r="AE62" s="15"/>
      <c r="AF62" s="15"/>
      <c r="AG62" s="15"/>
      <c r="AH62" s="15"/>
      <c r="AI62" s="15"/>
      <c r="AJ62" s="15"/>
      <c r="AK62" s="15"/>
      <c r="AL62" s="15"/>
      <c r="AM62" s="15"/>
      <c r="AN62" s="15"/>
      <c r="AO62" s="15"/>
      <c r="AP62" s="15"/>
      <c r="AQ62" s="15"/>
      <c r="AR62" s="15"/>
      <c r="AS62" s="15"/>
      <c r="AT62" s="15"/>
    </row>
    <row r="63" spans="1:4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row>
  </sheetData>
  <mergeCells count="3">
    <mergeCell ref="A49:D49"/>
    <mergeCell ref="F49:H49"/>
    <mergeCell ref="F50:H50"/>
  </mergeCells>
  <pageMargins left="0" right="0" top="0" bottom="0" header="0" footer="0"/>
  <pageSetup scale="53"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sheetPr codeName="Sheet15"/>
  <dimension ref="A3:L25"/>
  <sheetViews>
    <sheetView showGridLines="0" topLeftCell="A5" zoomScale="80" zoomScaleNormal="80" workbookViewId="0">
      <selection activeCell="D13" sqref="D13"/>
    </sheetView>
  </sheetViews>
  <sheetFormatPr defaultRowHeight="12.75"/>
  <cols>
    <col min="1" max="1" width="24" customWidth="1"/>
    <col min="3" max="3" width="16.85546875" style="40" customWidth="1"/>
    <col min="4" max="4" width="19" bestFit="1" customWidth="1"/>
    <col min="5" max="5" width="17.28515625" bestFit="1" customWidth="1"/>
    <col min="6" max="6" width="15.7109375" bestFit="1" customWidth="1"/>
    <col min="7" max="7" width="7.5703125" customWidth="1"/>
    <col min="8" max="8" width="22.7109375" customWidth="1"/>
    <col min="10" max="11" width="19" bestFit="1" customWidth="1"/>
    <col min="12" max="12" width="17.5703125" customWidth="1"/>
    <col min="13" max="13" width="12.5703125" bestFit="1" customWidth="1"/>
  </cols>
  <sheetData>
    <row r="3" spans="1:11" ht="26.25">
      <c r="A3" s="108" t="s">
        <v>289</v>
      </c>
    </row>
    <row r="5" spans="1:11">
      <c r="I5" s="19"/>
    </row>
    <row r="6" spans="1:11" ht="25.5" customHeight="1">
      <c r="A6" s="202" t="s">
        <v>156</v>
      </c>
      <c r="B6" s="202"/>
      <c r="C6" s="207" t="s">
        <v>151</v>
      </c>
      <c r="D6" s="208"/>
      <c r="G6" s="112"/>
      <c r="H6" s="113" t="s">
        <v>160</v>
      </c>
      <c r="I6" s="113" t="s">
        <v>161</v>
      </c>
      <c r="J6" s="98"/>
      <c r="K6" s="98"/>
    </row>
    <row r="7" spans="1:11">
      <c r="B7" s="40"/>
      <c r="D7" s="40"/>
      <c r="E7" s="40"/>
      <c r="G7" s="41"/>
      <c r="H7" s="43"/>
      <c r="I7" s="43"/>
    </row>
    <row r="8" spans="1:11">
      <c r="B8" s="40"/>
      <c r="D8" s="40"/>
      <c r="E8" s="40"/>
      <c r="G8" s="44" t="s">
        <v>159</v>
      </c>
      <c r="H8" s="45">
        <f ca="1">'P&amp;L-CFL'!C32</f>
        <v>22.960966205089779</v>
      </c>
      <c r="I8" s="45">
        <f>'P&amp;L-IL'!C27</f>
        <v>9.8198257442800063</v>
      </c>
    </row>
    <row r="9" spans="1:11">
      <c r="B9" s="40"/>
      <c r="D9" s="40"/>
      <c r="E9" s="40"/>
      <c r="G9" s="41"/>
      <c r="H9" s="43"/>
      <c r="I9" s="43"/>
    </row>
    <row r="10" spans="1:11">
      <c r="G10" s="44"/>
      <c r="H10" s="46" t="s">
        <v>157</v>
      </c>
      <c r="I10" s="46" t="s">
        <v>158</v>
      </c>
    </row>
    <row r="11" spans="1:11">
      <c r="C11" s="102"/>
      <c r="D11" s="101"/>
      <c r="G11" s="44" t="s">
        <v>159</v>
      </c>
      <c r="H11" s="47">
        <f ca="1">'P&amp;L-CFL'!C46</f>
        <v>0.27768510557171422</v>
      </c>
      <c r="I11" s="47">
        <f>'P&amp;L-IL'!C40</f>
        <v>0.40837907806117063</v>
      </c>
    </row>
    <row r="12" spans="1:11" ht="25.5">
      <c r="C12" s="104" t="s">
        <v>152</v>
      </c>
      <c r="D12" s="103">
        <v>0</v>
      </c>
      <c r="E12" s="40"/>
      <c r="F12" s="40"/>
    </row>
    <row r="13" spans="1:11">
      <c r="C13" s="102" t="s">
        <v>154</v>
      </c>
      <c r="D13" s="103">
        <v>0</v>
      </c>
      <c r="E13" s="40"/>
      <c r="F13" s="40"/>
      <c r="G13" s="40"/>
    </row>
    <row r="14" spans="1:11">
      <c r="C14" s="105" t="s">
        <v>288</v>
      </c>
      <c r="D14" s="103">
        <v>0</v>
      </c>
      <c r="E14" s="40"/>
      <c r="F14" s="40"/>
      <c r="G14" s="40"/>
    </row>
    <row r="15" spans="1:11">
      <c r="B15" s="40"/>
      <c r="D15" s="40"/>
      <c r="E15" s="40"/>
      <c r="F15" s="40"/>
      <c r="G15" s="40"/>
    </row>
    <row r="16" spans="1:11">
      <c r="B16" s="40"/>
      <c r="D16" s="40"/>
      <c r="E16" s="40"/>
      <c r="F16" s="40"/>
      <c r="G16" s="111" t="s">
        <v>297</v>
      </c>
      <c r="H16" s="203" t="s">
        <v>22</v>
      </c>
      <c r="I16" s="204"/>
      <c r="J16" s="111" t="s">
        <v>279</v>
      </c>
      <c r="K16" s="111" t="s">
        <v>158</v>
      </c>
    </row>
    <row r="17" spans="1:12">
      <c r="B17" s="40"/>
      <c r="D17" s="40"/>
      <c r="E17" s="40"/>
      <c r="F17" s="40"/>
      <c r="G17" s="100"/>
      <c r="H17" s="109" t="s">
        <v>155</v>
      </c>
      <c r="I17" s="110"/>
      <c r="J17" s="106">
        <v>0.27768510557171422</v>
      </c>
      <c r="K17" s="106">
        <v>0.40839999999999999</v>
      </c>
    </row>
    <row r="18" spans="1:12">
      <c r="B18" s="40"/>
      <c r="D18" s="40"/>
      <c r="E18" s="40"/>
      <c r="G18" s="210">
        <v>1</v>
      </c>
      <c r="H18" s="188" t="s">
        <v>287</v>
      </c>
      <c r="I18" s="38" t="s">
        <v>153</v>
      </c>
      <c r="J18" s="42">
        <v>0.31081480396423633</v>
      </c>
      <c r="K18" s="42">
        <v>0.48399999999999999</v>
      </c>
    </row>
    <row r="19" spans="1:12">
      <c r="B19" s="40"/>
      <c r="G19" s="211"/>
      <c r="H19" s="189"/>
      <c r="I19" s="39">
        <v>-0.1</v>
      </c>
      <c r="J19" s="42">
        <v>0.23758320717092934</v>
      </c>
      <c r="K19" s="42">
        <v>0.33539999999999998</v>
      </c>
    </row>
    <row r="20" spans="1:12">
      <c r="A20" s="40"/>
      <c r="F20" s="99"/>
      <c r="G20" s="209">
        <v>2</v>
      </c>
      <c r="H20" s="201" t="s">
        <v>154</v>
      </c>
      <c r="I20" s="38" t="s">
        <v>153</v>
      </c>
      <c r="J20" s="42">
        <v>0.26149934780208883</v>
      </c>
      <c r="K20" s="42">
        <v>0.38850000000000001</v>
      </c>
      <c r="L20" s="186"/>
    </row>
    <row r="21" spans="1:12">
      <c r="A21" s="40"/>
      <c r="F21" s="40"/>
      <c r="G21" s="209"/>
      <c r="H21" s="201"/>
      <c r="I21" s="39">
        <v>-0.1</v>
      </c>
      <c r="J21" s="42">
        <v>0.29059994673084821</v>
      </c>
      <c r="K21" s="42">
        <v>0.4279</v>
      </c>
      <c r="L21" s="186"/>
    </row>
    <row r="22" spans="1:12">
      <c r="A22" s="40"/>
      <c r="F22" s="40"/>
      <c r="G22" s="209">
        <v>3</v>
      </c>
      <c r="H22" s="205" t="s">
        <v>288</v>
      </c>
      <c r="I22" s="38" t="s">
        <v>153</v>
      </c>
      <c r="J22" s="107">
        <v>0.25401180682034569</v>
      </c>
      <c r="K22" s="42">
        <v>0.37459999999999999</v>
      </c>
      <c r="L22" s="186"/>
    </row>
    <row r="23" spans="1:12">
      <c r="G23" s="209"/>
      <c r="H23" s="206"/>
      <c r="I23" s="39">
        <v>-0.1</v>
      </c>
      <c r="J23" s="42">
        <v>0.30541482450275786</v>
      </c>
      <c r="K23" s="42">
        <v>0.44869999999999999</v>
      </c>
      <c r="L23" s="186"/>
    </row>
    <row r="24" spans="1:12">
      <c r="L24" s="186"/>
    </row>
    <row r="25" spans="1:12">
      <c r="L25" s="186"/>
    </row>
  </sheetData>
  <mergeCells count="8">
    <mergeCell ref="H20:H21"/>
    <mergeCell ref="A6:B6"/>
    <mergeCell ref="H16:I16"/>
    <mergeCell ref="H22:H23"/>
    <mergeCell ref="C6:D6"/>
    <mergeCell ref="G20:G21"/>
    <mergeCell ref="G22:G23"/>
    <mergeCell ref="G18:G19"/>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7</vt:i4>
      </vt:variant>
    </vt:vector>
  </HeadingPairs>
  <TitlesOfParts>
    <vt:vector size="22" baseType="lpstr">
      <vt:lpstr>Assum-CFL</vt:lpstr>
      <vt:lpstr>Prj Cost-CFL</vt:lpstr>
      <vt:lpstr>Operation &amp; WC-CFL</vt:lpstr>
      <vt:lpstr>Depreciation-CFL</vt:lpstr>
      <vt:lpstr>Tax Calc_CFL</vt:lpstr>
      <vt:lpstr>P&amp;L-CFL</vt:lpstr>
      <vt:lpstr>Tax Calc_CFL CDM</vt:lpstr>
      <vt:lpstr>P&amp;L-CFL CDM</vt:lpstr>
      <vt:lpstr>Sensitivity Analysis</vt:lpstr>
      <vt:lpstr>Assum-IL</vt:lpstr>
      <vt:lpstr>Prj Cost-IL</vt:lpstr>
      <vt:lpstr>Operation &amp; WC-IL</vt:lpstr>
      <vt:lpstr>Depreciation-IL</vt:lpstr>
      <vt:lpstr>Tax Calc_IL</vt:lpstr>
      <vt:lpstr>P&amp;L-IL</vt:lpstr>
      <vt:lpstr>'Operation &amp; WC-CFL'!Print_Area</vt:lpstr>
      <vt:lpstr>'Operation &amp; WC-IL'!Print_Area</vt:lpstr>
      <vt:lpstr>'P&amp;L-CFL'!Print_Area</vt:lpstr>
      <vt:lpstr>'P&amp;L-CFL CDM'!Print_Area</vt:lpstr>
      <vt:lpstr>'P&amp;L-IL'!Print_Area</vt:lpstr>
      <vt:lpstr>'Prj Cost-CFL'!Print_Area</vt:lpstr>
      <vt:lpstr>'Prj Cost-IL'!Print_Area</vt:lpstr>
    </vt:vector>
  </TitlesOfParts>
  <Company>lanco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tnks</dc:creator>
  <cp:lastModifiedBy>b</cp:lastModifiedBy>
  <cp:lastPrinted>2007-03-28T08:22:00Z</cp:lastPrinted>
  <dcterms:created xsi:type="dcterms:W3CDTF">2006-08-11T04:52:33Z</dcterms:created>
  <dcterms:modified xsi:type="dcterms:W3CDTF">2012-10-08T11:12:47Z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leName">
    <vt:lpwstr/>
  </property>
</Properties>
</file>