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45" yWindow="-75" windowWidth="13950" windowHeight="6120" activeTab="2"/>
  </bookViews>
  <sheets>
    <sheet name="Emission Factor Calculation" sheetId="1" r:id="rId1"/>
    <sheet name="Emission Reduction Calculation" sheetId="3" state="hidden" r:id="rId2"/>
    <sheet name="PDD Tables" sheetId="2" r:id="rId3"/>
  </sheets>
  <calcPr calcId="125725"/>
</workbook>
</file>

<file path=xl/calcChain.xml><?xml version="1.0" encoding="utf-8"?>
<calcChain xmlns="http://schemas.openxmlformats.org/spreadsheetml/2006/main">
  <c r="C25" i="3"/>
  <c r="L30" s="1"/>
  <c r="L31" s="1"/>
  <c r="H14"/>
  <c r="G14"/>
  <c r="F14"/>
  <c r="L21" s="1"/>
  <c r="C13"/>
  <c r="C10" i="1"/>
  <c r="B31"/>
  <c r="C31"/>
  <c r="C55" s="1"/>
  <c r="G31"/>
  <c r="H31"/>
  <c r="I31"/>
  <c r="J31"/>
  <c r="K31"/>
  <c r="L31"/>
  <c r="M31"/>
  <c r="B32"/>
  <c r="C32"/>
  <c r="F32"/>
  <c r="G32"/>
  <c r="H32"/>
  <c r="I32"/>
  <c r="J32"/>
  <c r="K32"/>
  <c r="N32"/>
  <c r="O32"/>
  <c r="F47"/>
  <c r="G47"/>
  <c r="H47"/>
  <c r="I47"/>
  <c r="J47"/>
  <c r="Q47"/>
  <c r="R47"/>
  <c r="S47"/>
  <c r="B55"/>
  <c r="D55"/>
  <c r="F55"/>
  <c r="G55"/>
  <c r="H55"/>
  <c r="I55"/>
  <c r="J55"/>
  <c r="K55"/>
  <c r="L55"/>
  <c r="M55"/>
  <c r="N55"/>
  <c r="O55"/>
  <c r="P55"/>
  <c r="Q55"/>
  <c r="R55"/>
  <c r="S55"/>
  <c r="T55"/>
  <c r="B66"/>
  <c r="C66"/>
  <c r="D66"/>
  <c r="F66"/>
  <c r="G66"/>
  <c r="H66"/>
  <c r="I66"/>
  <c r="J66"/>
  <c r="K66"/>
  <c r="L66"/>
  <c r="M66"/>
  <c r="N66"/>
  <c r="O66"/>
  <c r="P66"/>
  <c r="Q66"/>
  <c r="R66"/>
  <c r="S66"/>
  <c r="T66"/>
  <c r="B67"/>
  <c r="C67"/>
  <c r="D67"/>
  <c r="F67"/>
  <c r="G67"/>
  <c r="H67"/>
  <c r="I67"/>
  <c r="J67"/>
  <c r="K67"/>
  <c r="L67"/>
  <c r="M67"/>
  <c r="N67"/>
  <c r="O67"/>
  <c r="P67"/>
  <c r="Q67"/>
  <c r="R67"/>
  <c r="S67"/>
  <c r="T67"/>
  <c r="B68"/>
  <c r="C68"/>
  <c r="D68"/>
  <c r="F68"/>
  <c r="G68"/>
  <c r="H68"/>
  <c r="I68"/>
  <c r="J68"/>
  <c r="K68"/>
  <c r="L68"/>
  <c r="M68"/>
  <c r="N68"/>
  <c r="O68"/>
  <c r="P68"/>
  <c r="Q68"/>
  <c r="R68"/>
  <c r="S68"/>
  <c r="T68"/>
  <c r="B69"/>
  <c r="B70"/>
  <c r="B71"/>
  <c r="B72"/>
  <c r="B73"/>
  <c r="B74"/>
  <c r="B75"/>
  <c r="B76"/>
  <c r="B77"/>
  <c r="B78"/>
  <c r="B86"/>
  <c r="C86"/>
  <c r="B87" s="1"/>
  <c r="D86"/>
  <c r="F86"/>
  <c r="G86"/>
  <c r="H86"/>
  <c r="I86"/>
  <c r="J86"/>
  <c r="K86"/>
  <c r="L86"/>
  <c r="M86"/>
  <c r="N86"/>
  <c r="O86"/>
  <c r="P86"/>
  <c r="Q86"/>
  <c r="R86"/>
  <c r="S86"/>
  <c r="T86"/>
  <c r="B88"/>
  <c r="B90"/>
  <c r="B91" s="1"/>
  <c r="B92"/>
  <c r="F98"/>
  <c r="G98"/>
  <c r="H98"/>
  <c r="I98"/>
  <c r="C99"/>
  <c r="D99"/>
  <c r="E99"/>
  <c r="F99"/>
  <c r="G99"/>
  <c r="H99"/>
  <c r="I99"/>
  <c r="C100"/>
  <c r="D100"/>
  <c r="E100"/>
  <c r="F100"/>
  <c r="G100"/>
  <c r="H100"/>
  <c r="I100"/>
  <c r="C101"/>
  <c r="C105"/>
  <c r="C106"/>
  <c r="C109" s="1"/>
  <c r="C8" i="3" s="1"/>
  <c r="E7" i="2"/>
  <c r="D23"/>
  <c r="E23"/>
  <c r="I23" s="1"/>
  <c r="D24"/>
  <c r="E24"/>
  <c r="I24"/>
  <c r="I25"/>
  <c r="E27"/>
  <c r="I27" s="1"/>
  <c r="D28"/>
  <c r="E28"/>
  <c r="I28"/>
  <c r="D29"/>
  <c r="E29"/>
  <c r="I29" s="1"/>
  <c r="D30"/>
  <c r="E30"/>
  <c r="I30"/>
  <c r="D31"/>
  <c r="E31"/>
  <c r="I31" s="1"/>
  <c r="D32"/>
  <c r="E32"/>
  <c r="I32"/>
  <c r="D33"/>
  <c r="I33"/>
  <c r="D34"/>
  <c r="I34"/>
  <c r="E35"/>
  <c r="I35"/>
  <c r="E36"/>
  <c r="I36"/>
  <c r="I37"/>
  <c r="I38"/>
  <c r="I39"/>
  <c r="I40"/>
  <c r="I41"/>
  <c r="C81"/>
  <c r="D81"/>
  <c r="E81"/>
  <c r="C82"/>
  <c r="D82"/>
  <c r="E82"/>
  <c r="C83"/>
  <c r="D83"/>
  <c r="E83"/>
  <c r="C85"/>
  <c r="D85"/>
  <c r="E85"/>
  <c r="C86"/>
  <c r="D86"/>
  <c r="E86"/>
  <c r="C87"/>
  <c r="D87"/>
  <c r="E87"/>
  <c r="C88"/>
  <c r="D88"/>
  <c r="E88"/>
  <c r="C89"/>
  <c r="D89"/>
  <c r="E89"/>
  <c r="C90"/>
  <c r="D90"/>
  <c r="E90"/>
  <c r="C91"/>
  <c r="D91"/>
  <c r="E91"/>
  <c r="C92"/>
  <c r="D92"/>
  <c r="E92"/>
  <c r="C93"/>
  <c r="D93"/>
  <c r="E93"/>
  <c r="C94"/>
  <c r="D94"/>
  <c r="E94"/>
  <c r="C95"/>
  <c r="D95"/>
  <c r="E95"/>
  <c r="C96"/>
  <c r="D96"/>
  <c r="E96"/>
  <c r="C97"/>
  <c r="D97"/>
  <c r="E97"/>
  <c r="C98"/>
  <c r="D98"/>
  <c r="E98"/>
  <c r="C99"/>
  <c r="D99"/>
  <c r="E99"/>
  <c r="E100"/>
  <c r="E101"/>
  <c r="E102"/>
  <c r="E103"/>
  <c r="E104"/>
  <c r="E105"/>
  <c r="E108" s="1"/>
  <c r="E109" s="1"/>
  <c r="E160" s="1"/>
  <c r="E106"/>
  <c r="E107"/>
  <c r="D117"/>
  <c r="D118"/>
  <c r="D119"/>
  <c r="D120"/>
  <c r="D121"/>
  <c r="D122"/>
  <c r="D123"/>
  <c r="D124"/>
  <c r="D125"/>
  <c r="D126"/>
  <c r="D127"/>
  <c r="D128"/>
  <c r="D129"/>
  <c r="D130"/>
  <c r="D139" s="1"/>
  <c r="D140" s="1"/>
  <c r="D131"/>
  <c r="D132"/>
  <c r="D137" s="1"/>
  <c r="D138" s="1"/>
  <c r="D133"/>
  <c r="D134"/>
  <c r="D135"/>
  <c r="D136"/>
  <c r="C150"/>
  <c r="D150"/>
  <c r="E150"/>
  <c r="C151"/>
  <c r="D151"/>
  <c r="E151"/>
  <c r="C152"/>
  <c r="D152"/>
  <c r="E152"/>
  <c r="C153"/>
  <c r="D153"/>
  <c r="E153" s="1"/>
  <c r="C154"/>
  <c r="D154"/>
  <c r="E154"/>
  <c r="C155"/>
  <c r="D155"/>
  <c r="E155" s="1"/>
  <c r="C156"/>
  <c r="D156"/>
  <c r="E156"/>
  <c r="K21" i="3" l="1"/>
  <c r="L43"/>
  <c r="D21"/>
  <c r="F21"/>
  <c r="H21"/>
  <c r="J21"/>
  <c r="C30"/>
  <c r="C31" s="1"/>
  <c r="E30"/>
  <c r="E31" s="1"/>
  <c r="G30"/>
  <c r="G31" s="1"/>
  <c r="I30"/>
  <c r="I31" s="1"/>
  <c r="K30"/>
  <c r="K31" s="1"/>
  <c r="C21"/>
  <c r="L36" s="1"/>
  <c r="E21"/>
  <c r="G21"/>
  <c r="I21"/>
  <c r="D30"/>
  <c r="D31" s="1"/>
  <c r="F30"/>
  <c r="F31" s="1"/>
  <c r="H30"/>
  <c r="H31" s="1"/>
  <c r="J30"/>
  <c r="J31" s="1"/>
  <c r="B57" i="1"/>
  <c r="B59" s="1"/>
  <c r="B56"/>
  <c r="D43" i="2"/>
  <c r="D42"/>
  <c r="D44" s="1"/>
  <c r="D46" s="1"/>
  <c r="F150"/>
  <c r="E161" s="1"/>
  <c r="E164" s="1"/>
  <c r="B93" i="1"/>
  <c r="B89"/>
  <c r="D141" i="2"/>
  <c r="D142" s="1"/>
  <c r="L42" i="3" l="1"/>
  <c r="L37"/>
  <c r="H36"/>
  <c r="D36"/>
  <c r="I36"/>
  <c r="E36"/>
  <c r="J36"/>
  <c r="F36"/>
  <c r="K36"/>
  <c r="G36"/>
  <c r="C36"/>
  <c r="D45" i="2"/>
  <c r="B58" i="1"/>
  <c r="B60" s="1"/>
  <c r="C42" i="3" l="1"/>
  <c r="C37"/>
  <c r="C43" s="1"/>
  <c r="G42"/>
  <c r="G37"/>
  <c r="G43" s="1"/>
  <c r="K42"/>
  <c r="K37"/>
  <c r="K43" s="1"/>
  <c r="F42"/>
  <c r="F37"/>
  <c r="F43" s="1"/>
  <c r="J42"/>
  <c r="J37"/>
  <c r="J43" s="1"/>
  <c r="E42"/>
  <c r="E37"/>
  <c r="E43" s="1"/>
  <c r="I42"/>
  <c r="I37"/>
  <c r="I43" s="1"/>
  <c r="D42"/>
  <c r="D37"/>
  <c r="D43" s="1"/>
  <c r="H42"/>
  <c r="H37"/>
  <c r="H43" s="1"/>
  <c r="M43" l="1"/>
</calcChain>
</file>

<file path=xl/comments1.xml><?xml version="1.0" encoding="utf-8"?>
<comments xmlns="http://schemas.openxmlformats.org/spreadsheetml/2006/main">
  <authors>
    <author>Edmundo Klophaus</author>
  </authors>
  <commentList>
    <comment ref="B7" authorId="0">
      <text>
        <r>
          <rPr>
            <sz val="8"/>
            <color indexed="81"/>
            <rFont val="Tahoma"/>
            <family val="2"/>
          </rPr>
          <t xml:space="preserve">default value in AMS IIJ is 10%
</t>
        </r>
      </text>
    </comment>
    <comment ref="B8" authorId="0">
      <text>
        <r>
          <rPr>
            <sz val="8"/>
            <color indexed="81"/>
            <rFont val="Tahoma"/>
            <family val="2"/>
          </rPr>
          <t xml:space="preserve">Key data:
calculated using AMS-I.D version 17
</t>
        </r>
      </text>
    </comment>
    <comment ref="B9" authorId="0">
      <text>
        <r>
          <rPr>
            <sz val="8"/>
            <color indexed="81"/>
            <rFont val="Tahoma"/>
            <family val="2"/>
          </rPr>
          <t>0.95 is default value in IIJ</t>
        </r>
      </text>
    </comment>
    <comment ref="B11" authorId="0">
      <text>
        <r>
          <rPr>
            <sz val="8"/>
            <color indexed="81"/>
            <rFont val="Tahoma"/>
            <family val="2"/>
          </rPr>
          <t>default AMS IIJ is 3.5 hours</t>
        </r>
      </text>
    </comment>
  </commentList>
</comments>
</file>

<file path=xl/sharedStrings.xml><?xml version="1.0" encoding="utf-8"?>
<sst xmlns="http://schemas.openxmlformats.org/spreadsheetml/2006/main" count="513" uniqueCount="212">
  <si>
    <t>Calculation of Combined Margin Emisison Factor for Nigerian Grid</t>
  </si>
  <si>
    <t>FUEL CONSUMPTION FOR ELECTRICITY GENERATION 2006-2008 (MMSCF FOR NATURAL GAS/TONNES FOR DIESEL)</t>
  </si>
  <si>
    <t>KAINJI</t>
  </si>
  <si>
    <t>JEBBA</t>
  </si>
  <si>
    <t>SHIRORO</t>
  </si>
  <si>
    <t>EGBIN</t>
  </si>
  <si>
    <t>SAPELE</t>
  </si>
  <si>
    <t>AFAM</t>
  </si>
  <si>
    <t>DELTA</t>
  </si>
  <si>
    <t>AES</t>
  </si>
  <si>
    <t>CALABAR</t>
  </si>
  <si>
    <t>AGGREKO</t>
  </si>
  <si>
    <t>GEOMETRIC</t>
  </si>
  <si>
    <t>OKPAI</t>
  </si>
  <si>
    <t>AJAOKUTA</t>
  </si>
  <si>
    <t>OMOTOSHO</t>
  </si>
  <si>
    <t>GEREGU</t>
  </si>
  <si>
    <t>OLORUNSGO</t>
  </si>
  <si>
    <t>AFAM6</t>
  </si>
  <si>
    <t>Fuel Type</t>
  </si>
  <si>
    <t>HYDRO</t>
  </si>
  <si>
    <t>GAS</t>
  </si>
  <si>
    <t>DIESEL</t>
  </si>
  <si>
    <t>Fuel Consumption - 2006</t>
  </si>
  <si>
    <t>Fuel Consumption - 2007</t>
  </si>
  <si>
    <t>Fuel Consumption - 2008</t>
  </si>
  <si>
    <t>Plant wise Generation</t>
  </si>
  <si>
    <t>ELECTRICITY GENERATION  DURING 2006-2008 (MWh)</t>
  </si>
  <si>
    <t>Electricity Generation (MWh) - 2006</t>
  </si>
  <si>
    <t>Electricity Generation (MWh) - 2007</t>
  </si>
  <si>
    <t>Electricity Generation (MWh) - 2008</t>
  </si>
  <si>
    <t>Parameters</t>
  </si>
  <si>
    <t>Units</t>
  </si>
  <si>
    <t>Values</t>
  </si>
  <si>
    <t>MWh</t>
  </si>
  <si>
    <t>MMSCF</t>
  </si>
  <si>
    <t>Share of Hydro (%)</t>
  </si>
  <si>
    <t>Inputs for Calculation of Emissions</t>
  </si>
  <si>
    <t>Sources</t>
  </si>
  <si>
    <t>Net Calorific Value - Diesel</t>
  </si>
  <si>
    <t>TJ/Ktonnes</t>
  </si>
  <si>
    <t>Net Calorific Value - Gas</t>
  </si>
  <si>
    <t>Carbon Emission Factor (CEF) - Diesel</t>
  </si>
  <si>
    <t>tCO2/TJ</t>
  </si>
  <si>
    <t>Carbon Emission Factor (CEF) - Gas</t>
  </si>
  <si>
    <t>Density of Natural gas</t>
  </si>
  <si>
    <t>Kg/m3</t>
  </si>
  <si>
    <t>Density of Diesel</t>
  </si>
  <si>
    <t>Conversion Factors</t>
  </si>
  <si>
    <t>1Ib/ft3</t>
  </si>
  <si>
    <t>1Kg/m3</t>
  </si>
  <si>
    <t>Ib/ft3</t>
  </si>
  <si>
    <t>1ft3</t>
  </si>
  <si>
    <t>m3</t>
  </si>
  <si>
    <t>1 MWh</t>
  </si>
  <si>
    <t>GJ</t>
  </si>
  <si>
    <t>Calculation of Operating Margin Emission Factor</t>
  </si>
  <si>
    <t>Emisisons from Operating Plants in (tCO2) - 2006</t>
  </si>
  <si>
    <t>Emisisons from Operating Plants in (tCO2) - 2007</t>
  </si>
  <si>
    <t>Emisisons from Operating Plants in (tCO2) - 2008</t>
  </si>
  <si>
    <t>Total Emissions (tCO2) - 2006</t>
  </si>
  <si>
    <t>Total Emissions (tCO2) - 2007</t>
  </si>
  <si>
    <t>Total Emissions (tCO2) - 2008</t>
  </si>
  <si>
    <t>Total Electricity Generated (MWh) - 2006</t>
  </si>
  <si>
    <t>Total Electricity Generated (MWh) - 2007</t>
  </si>
  <si>
    <t>Total Electricity Generated (MWh) - 2008</t>
  </si>
  <si>
    <t>Emission Factor (tCO2/MWh)-2006</t>
  </si>
  <si>
    <t>Emission Factor (tCO2/MWh)-2007</t>
  </si>
  <si>
    <t>Emission Factor (tCO2/MWh)-2008</t>
  </si>
  <si>
    <t>Average OM EF</t>
  </si>
  <si>
    <t>Build Margin Calculations</t>
  </si>
  <si>
    <t>Dec'06</t>
  </si>
  <si>
    <t>june'07</t>
  </si>
  <si>
    <t>march'07</t>
  </si>
  <si>
    <t>Dec'07</t>
  </si>
  <si>
    <t>Total Generation (MWh)</t>
  </si>
  <si>
    <t>BM Plants</t>
  </si>
  <si>
    <t>Gas Consumed(MMSCF)</t>
  </si>
  <si>
    <t>Electricity (MWH)</t>
  </si>
  <si>
    <t>MWH</t>
  </si>
  <si>
    <t>EF(el,m,y)</t>
  </si>
  <si>
    <t>tCO2/MWh</t>
  </si>
  <si>
    <t>EF BM (tCO2/MWh)</t>
  </si>
  <si>
    <t>Combined Margin Emission Factor</t>
  </si>
  <si>
    <t>Operating Margin EF</t>
  </si>
  <si>
    <t>Build Margin EF</t>
  </si>
  <si>
    <t>Weightage for OM (W1)</t>
  </si>
  <si>
    <t>Weightage for BM (W2)</t>
  </si>
  <si>
    <t>Combined Margin EF (EF CM)</t>
  </si>
  <si>
    <t xml:space="preserve">IPCC </t>
  </si>
  <si>
    <t>Hydro</t>
  </si>
  <si>
    <t>Thermal</t>
  </si>
  <si>
    <t>Power plant Type</t>
  </si>
  <si>
    <t>Power plant Name</t>
  </si>
  <si>
    <t>Year of Commissioning</t>
  </si>
  <si>
    <t>%</t>
  </si>
  <si>
    <t xml:space="preserve">Electricity </t>
  </si>
  <si>
    <t xml:space="preserve">Power plant name </t>
  </si>
  <si>
    <t>Gas consumed</t>
  </si>
  <si>
    <t>Plant Name</t>
  </si>
  <si>
    <t>Plant name</t>
  </si>
  <si>
    <t>Table: Identification of power units for build margin capacity</t>
  </si>
  <si>
    <t>Table: Build Margin Calculations</t>
  </si>
  <si>
    <t>Table: Combined Margin Emission Factor</t>
  </si>
  <si>
    <t>Table: Power plant-wise fuel consumption (2006-2008)</t>
  </si>
  <si>
    <t>Table: Calculation of Operating Margin Emission Factor (2006 - 2008)</t>
  </si>
  <si>
    <t>Total Electricity Generated (MWh) from thermal - 2006</t>
  </si>
  <si>
    <t>Total Electricity Generated (MWh) from thermal- 2007</t>
  </si>
  <si>
    <t>Total Electricity Generated (MWh) from thermal - 2008</t>
  </si>
  <si>
    <t>Power Plants on Grid in 2008 (MW)</t>
  </si>
  <si>
    <t>Electricity generation from plants on the grid (MWh) in 2008</t>
  </si>
  <si>
    <t>0.7-0.9</t>
  </si>
  <si>
    <t>http://www.engineeringtoolbox.com/gas-density-d_158.html</t>
  </si>
  <si>
    <t>Share of Other Sources (%)</t>
  </si>
  <si>
    <t>Generation from Hydro - MWh</t>
  </si>
  <si>
    <t>Generation from other sources - MWh</t>
  </si>
  <si>
    <t>Plant wise Emissions  (tCO2/Year)</t>
  </si>
  <si>
    <t xml:space="preserve">Installed Capacity of Power Plants (MW) </t>
  </si>
  <si>
    <t>Table: Power plant-wise electricity generation (2004-2008)</t>
  </si>
  <si>
    <t>Historic Fuel Consumption during 2004-2008 in all the Plants connected to the Grid</t>
  </si>
  <si>
    <t>Electricity Generation (MWh) - 2004</t>
  </si>
  <si>
    <t>Electricity Generation (MWh) - 2005</t>
  </si>
  <si>
    <t>Total Gen (2004-2008) - Plant wise</t>
  </si>
  <si>
    <t>Total Generation (MWH) (2004-2008) - all plants</t>
  </si>
  <si>
    <t>Share of Low Cost Must Run Sources during 2004-2008 for the Choice of Operating Margin Calculations</t>
  </si>
  <si>
    <t>Generation (MWh)</t>
  </si>
  <si>
    <t>Total Generation (2004-2008) - MWh</t>
  </si>
  <si>
    <t>Generation from Hydro (2004-2008) - MWh</t>
  </si>
  <si>
    <t>Total (MWh)</t>
  </si>
  <si>
    <t>Generation from Other Sources (2004-2008)- MWH</t>
  </si>
  <si>
    <t>Electricity generation (MWh) in 2008</t>
  </si>
  <si>
    <t>Generation in 5 newly built plants (MWh)</t>
  </si>
  <si>
    <t>Historic Generation of Electricity during 2004-2008 in all the Plants Connected to the Grid</t>
  </si>
  <si>
    <t>Gas cons. per unit electricity gen (MMSCF/MWh) in 2008</t>
  </si>
  <si>
    <t>1  Ib/ft3  equals</t>
  </si>
  <si>
    <t>1  Kg/m3 equals</t>
  </si>
  <si>
    <t>1   ft3  equals</t>
  </si>
  <si>
    <t>1  MWh equals</t>
  </si>
  <si>
    <t>NESCO*</t>
  </si>
  <si>
    <t>NESCO *</t>
  </si>
  <si>
    <t>http://www.simetric.co.uk.htm</t>
  </si>
  <si>
    <t xml:space="preserve">EF BM </t>
  </si>
  <si>
    <t xml:space="preserve">OMOKU </t>
  </si>
  <si>
    <t xml:space="preserve">*   Data from NESCO Power Plant is not considered as it operates as an isolated system </t>
  </si>
  <si>
    <t>Share of 6 newly buit plants in the total generation (%)</t>
  </si>
  <si>
    <t>Share of 5 newly buit plants in the total generation (%)</t>
  </si>
  <si>
    <t>Generation from 6 newly built plants (MWh)</t>
  </si>
  <si>
    <t>Generation from 7 newly built plants (MWh)</t>
  </si>
  <si>
    <t>Share of 7 newly buit plants in the total generation (%)</t>
  </si>
  <si>
    <t>*   Data from NESCO Power Plant is not considered as it operates as an isolated system</t>
  </si>
  <si>
    <t>Fuel Consumption for electricity generation 2006-2008 (MMSCF/Year for NG, Tonnes/Year  for Diesel, and no fuel consumption for Hydro)</t>
  </si>
  <si>
    <t>-</t>
  </si>
  <si>
    <t>Share of 5 newly built plans in the total generation (%)</t>
  </si>
  <si>
    <t>Generation in 6 newly built plants (MWh)</t>
  </si>
  <si>
    <t>Share of 6 newly built plans in the total generation (%)</t>
  </si>
  <si>
    <t>Generation in 7 newly built plants (MWh)</t>
  </si>
  <si>
    <t>Share of 7 newly built plans in the total generation (%)</t>
  </si>
  <si>
    <t>*   Data from NESCO Power Plant is not considered it operates as an isolated system</t>
  </si>
  <si>
    <t>OMOKU</t>
  </si>
  <si>
    <t>Average OM EF (tCO2/MWh)</t>
  </si>
  <si>
    <t>Efficiency of power plants</t>
  </si>
  <si>
    <t>Tool</t>
  </si>
  <si>
    <t>tCO2/GJ</t>
  </si>
  <si>
    <t>j</t>
  </si>
  <si>
    <t>NA</t>
  </si>
  <si>
    <t>Efficiency of Open Cycle Power Plant</t>
  </si>
  <si>
    <t>UNFCCC Tool</t>
  </si>
  <si>
    <t>AVERAGE WATTAGE CALCULATION MULTIPLE PRODUCTS</t>
  </si>
  <si>
    <t>KEY PROJECT DATA</t>
  </si>
  <si>
    <t>Energy wasting</t>
  </si>
  <si>
    <t>Energy saving</t>
  </si>
  <si>
    <t>product</t>
  </si>
  <si>
    <t>Transmission losses TD</t>
  </si>
  <si>
    <t>ICL</t>
  </si>
  <si>
    <t>CFL</t>
  </si>
  <si>
    <t>mix</t>
  </si>
  <si>
    <t xml:space="preserve">Emmision Factor  EF /kWh (gr) </t>
  </si>
  <si>
    <t>net to gross factor NTG</t>
  </si>
  <si>
    <t>Lamps burning hours per year</t>
  </si>
  <si>
    <t>hours</t>
  </si>
  <si>
    <t>days</t>
  </si>
  <si>
    <t>hours/year</t>
  </si>
  <si>
    <t>Year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</si>
  <si>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</si>
  <si>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</si>
  <si>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</si>
  <si>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</si>
  <si>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</si>
  <si>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</si>
  <si>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</si>
  <si>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</si>
  <si>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</si>
  <si>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</si>
  <si>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ES</t>
  </si>
  <si>
    <t>Lamp Failure Rate LFR</t>
  </si>
  <si>
    <t>linear failure</t>
  </si>
  <si>
    <t>capped linear failure</t>
  </si>
  <si>
    <t>Net Electricity Saved  (kWH)</t>
  </si>
  <si>
    <t>NES</t>
  </si>
  <si>
    <r>
      <t>Capped</t>
    </r>
    <r>
      <rPr>
        <b/>
        <sz val="10"/>
        <rFont val="Arial"/>
        <family val="2"/>
      </rPr>
      <t xml:space="preserve"> NES</t>
    </r>
  </si>
  <si>
    <t>total</t>
  </si>
  <si>
    <t>ER (tCO2e)</t>
  </si>
  <si>
    <t>Capped ER (tCO2e)</t>
  </si>
  <si>
    <t>Number of CFL QPJi</t>
  </si>
  <si>
    <t>Xi</t>
  </si>
  <si>
    <t>Ri</t>
  </si>
  <si>
    <t>Li</t>
  </si>
  <si>
    <t>Emission Reduction ER (tCO2e)</t>
  </si>
  <si>
    <r>
      <t xml:space="preserve">hours per day </t>
    </r>
    <r>
      <rPr>
        <b/>
        <sz val="10"/>
        <rFont val="Arial"/>
        <family val="2"/>
      </rPr>
      <t>Oi</t>
    </r>
  </si>
  <si>
    <r>
      <t xml:space="preserve">total hours per year </t>
    </r>
    <r>
      <rPr>
        <b/>
        <sz val="10"/>
        <rFont val="Arial"/>
        <family val="2"/>
      </rPr>
      <t>Xi</t>
    </r>
  </si>
  <si>
    <r>
      <t xml:space="preserve">Estimates annual electricity saving </t>
    </r>
    <r>
      <rPr>
        <sz val="10"/>
        <rFont val="Arial"/>
        <family val="2"/>
      </rPr>
      <t>ESi</t>
    </r>
  </si>
  <si>
    <t>Emission Reduction Calculation - AMS-II.J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</si>
</sst>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(* #,##0_);_(* \(#,##0\);_(* &quot;-&quot;??_);_(@_)"/>
    <numFmt numFmtId="165" formatCode="#,##0.000"/>
    <numFmt numFmtId="166" formatCode="0.0%"/>
    <numFmt numFmtId="167" formatCode="0.0"/>
    <numFmt numFmtId="168" formatCode="_-* #,##0_-;\-* #,##0_-;_-* &quot;-&quot;??_-;_-@_-"/>
  </numFmts>
  <fonts count="39">
    <font>
      <sz val="11"/>
      <color indexed="8"/>
      <name val="Calibri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8"/>
      <name val="Arial"/>
      <family val="2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Times New Roman"/>
      <family val="1"/>
    </font>
    <font>
      <sz val="10"/>
      <color indexed="10"/>
      <name val="Arial"/>
      <family val="2"/>
    </font>
    <font>
      <sz val="8"/>
      <name val="Calibri"/>
      <family val="2"/>
    </font>
    <font>
      <b/>
      <sz val="10"/>
      <color indexed="12"/>
      <name val="Arial"/>
      <family val="2"/>
    </font>
    <font>
      <b/>
      <sz val="10"/>
      <color theme="4"/>
      <name val="Arial"/>
      <family val="2"/>
    </font>
    <font>
      <b/>
      <sz val="10"/>
      <color rgb="FF3333FF"/>
      <name val="Arial"/>
      <family val="2"/>
    </font>
    <font>
      <sz val="8"/>
      <color indexed="81"/>
      <name val="Tahoma"/>
      <family val="2"/>
    </font>
    <font>
      <sz val="10"/>
      <color indexed="8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20" fillId="3" borderId="0" applyNumberFormat="0" applyBorder="0" applyAlignment="0" applyProtection="0"/>
    <xf numFmtId="0" fontId="24" fillId="20" borderId="1" applyNumberFormat="0" applyAlignment="0" applyProtection="0"/>
    <xf numFmtId="0" fontId="26" fillId="21" borderId="2" applyNumberFormat="0" applyAlignment="0" applyProtection="0"/>
    <xf numFmtId="43" fontId="9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0" fontId="25" fillId="0" borderId="6" applyNumberFormat="0" applyFill="0" applyAlignment="0" applyProtection="0"/>
    <xf numFmtId="0" fontId="21" fillId="22" borderId="0" applyNumberFormat="0" applyBorder="0" applyAlignment="0" applyProtection="0"/>
    <xf numFmtId="0" fontId="9" fillId="23" borderId="7" applyNumberFormat="0" applyFont="0" applyAlignment="0" applyProtection="0"/>
    <xf numFmtId="0" fontId="23" fillId="20" borderId="8" applyNumberFormat="0" applyAlignment="0" applyProtection="0"/>
    <xf numFmtId="9" fontId="9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7" fillId="0" borderId="0" applyNumberFormat="0" applyFill="0" applyBorder="0" applyAlignment="0" applyProtection="0"/>
  </cellStyleXfs>
  <cellXfs count="27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4" fontId="3" fillId="0" borderId="17" xfId="0" applyNumberFormat="1" applyFont="1" applyBorder="1"/>
    <xf numFmtId="0" fontId="3" fillId="0" borderId="18" xfId="0" applyFont="1" applyBorder="1"/>
    <xf numFmtId="0" fontId="3" fillId="0" borderId="19" xfId="0" applyFont="1" applyBorder="1"/>
    <xf numFmtId="0" fontId="4" fillId="0" borderId="0" xfId="0" applyFont="1"/>
    <xf numFmtId="4" fontId="0" fillId="0" borderId="0" xfId="0" applyNumberFormat="1"/>
    <xf numFmtId="0" fontId="3" fillId="0" borderId="0" xfId="0" applyFont="1" applyBorder="1"/>
    <xf numFmtId="4" fontId="3" fillId="0" borderId="0" xfId="0" applyNumberFormat="1" applyFont="1" applyBorder="1"/>
    <xf numFmtId="43" fontId="9" fillId="0" borderId="0" xfId="28" applyFont="1"/>
    <xf numFmtId="2" fontId="0" fillId="0" borderId="0" xfId="0" applyNumberFormat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2" fillId="0" borderId="0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9" fontId="3" fillId="0" borderId="0" xfId="41" applyFont="1"/>
    <xf numFmtId="0" fontId="3" fillId="0" borderId="0" xfId="0" applyFont="1"/>
    <xf numFmtId="0" fontId="3" fillId="0" borderId="29" xfId="0" applyFont="1" applyBorder="1"/>
    <xf numFmtId="9" fontId="3" fillId="0" borderId="16" xfId="41" applyFont="1" applyBorder="1"/>
    <xf numFmtId="0" fontId="3" fillId="0" borderId="30" xfId="0" applyFont="1" applyBorder="1"/>
    <xf numFmtId="9" fontId="3" fillId="0" borderId="18" xfId="41" applyFont="1" applyBorder="1"/>
    <xf numFmtId="0" fontId="3" fillId="0" borderId="31" xfId="0" applyFont="1" applyBorder="1"/>
    <xf numFmtId="0" fontId="3" fillId="0" borderId="32" xfId="0" applyFont="1" applyBorder="1"/>
    <xf numFmtId="0" fontId="3" fillId="0" borderId="3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36" xfId="0" applyFont="1" applyBorder="1"/>
    <xf numFmtId="43" fontId="3" fillId="0" borderId="17" xfId="28" applyFont="1" applyBorder="1"/>
    <xf numFmtId="43" fontId="3" fillId="0" borderId="0" xfId="28" applyFont="1" applyBorder="1"/>
    <xf numFmtId="43" fontId="0" fillId="0" borderId="0" xfId="0" applyNumberFormat="1"/>
    <xf numFmtId="0" fontId="3" fillId="0" borderId="37" xfId="0" applyFont="1" applyBorder="1"/>
    <xf numFmtId="0" fontId="3" fillId="0" borderId="38" xfId="0" applyFont="1" applyFill="1" applyBorder="1"/>
    <xf numFmtId="0" fontId="5" fillId="0" borderId="0" xfId="0" applyFont="1"/>
    <xf numFmtId="0" fontId="3" fillId="0" borderId="39" xfId="0" applyFont="1" applyBorder="1"/>
    <xf numFmtId="0" fontId="3" fillId="0" borderId="16" xfId="0" applyFont="1" applyFill="1" applyBorder="1"/>
    <xf numFmtId="0" fontId="3" fillId="0" borderId="40" xfId="0" applyFont="1" applyBorder="1"/>
    <xf numFmtId="0" fontId="3" fillId="0" borderId="41" xfId="0" applyFont="1" applyBorder="1"/>
    <xf numFmtId="0" fontId="3" fillId="0" borderId="42" xfId="0" applyFont="1" applyBorder="1"/>
    <xf numFmtId="0" fontId="3" fillId="0" borderId="43" xfId="0" applyFont="1" applyFill="1" applyBorder="1"/>
    <xf numFmtId="0" fontId="3" fillId="0" borderId="43" xfId="0" applyFont="1" applyBorder="1"/>
    <xf numFmtId="0" fontId="3" fillId="0" borderId="44" xfId="0" applyFont="1" applyBorder="1"/>
    <xf numFmtId="43" fontId="3" fillId="0" borderId="17" xfId="0" applyNumberFormat="1" applyFont="1" applyBorder="1"/>
    <xf numFmtId="43" fontId="3" fillId="0" borderId="19" xfId="0" applyNumberFormat="1" applyFont="1" applyBorder="1"/>
    <xf numFmtId="0" fontId="4" fillId="0" borderId="0" xfId="0" applyFont="1" applyAlignment="1">
      <alignment horizontal="left" indent="5"/>
    </xf>
    <xf numFmtId="0" fontId="0" fillId="0" borderId="17" xfId="0" applyBorder="1"/>
    <xf numFmtId="43" fontId="4" fillId="0" borderId="0" xfId="0" applyNumberFormat="1" applyFont="1"/>
    <xf numFmtId="0" fontId="11" fillId="0" borderId="17" xfId="0" applyFont="1" applyBorder="1"/>
    <xf numFmtId="0" fontId="6" fillId="24" borderId="17" xfId="0" applyFont="1" applyFill="1" applyBorder="1" applyAlignment="1"/>
    <xf numFmtId="0" fontId="7" fillId="0" borderId="17" xfId="0" applyFont="1" applyBorder="1" applyAlignment="1"/>
    <xf numFmtId="164" fontId="7" fillId="0" borderId="17" xfId="28" applyNumberFormat="1" applyFont="1" applyBorder="1" applyAlignment="1"/>
    <xf numFmtId="0" fontId="7" fillId="0" borderId="17" xfId="0" applyFont="1" applyBorder="1"/>
    <xf numFmtId="9" fontId="7" fillId="0" borderId="17" xfId="41" applyFont="1" applyBorder="1"/>
    <xf numFmtId="3" fontId="7" fillId="0" borderId="17" xfId="0" applyNumberFormat="1" applyFont="1" applyBorder="1"/>
    <xf numFmtId="3" fontId="7" fillId="25" borderId="17" xfId="0" applyNumberFormat="1" applyFont="1" applyFill="1" applyBorder="1"/>
    <xf numFmtId="43" fontId="3" fillId="26" borderId="39" xfId="28" applyFont="1" applyFill="1" applyBorder="1"/>
    <xf numFmtId="43" fontId="3" fillId="26" borderId="41" xfId="0" applyNumberFormat="1" applyFont="1" applyFill="1" applyBorder="1"/>
    <xf numFmtId="0" fontId="11" fillId="0" borderId="0" xfId="0" applyFont="1"/>
    <xf numFmtId="43" fontId="11" fillId="0" borderId="17" xfId="0" applyNumberFormat="1" applyFont="1" applyBorder="1"/>
    <xf numFmtId="9" fontId="11" fillId="0" borderId="17" xfId="41" applyFont="1" applyBorder="1"/>
    <xf numFmtId="0" fontId="12" fillId="0" borderId="17" xfId="0" applyFont="1" applyBorder="1"/>
    <xf numFmtId="0" fontId="11" fillId="0" borderId="45" xfId="0" applyFont="1" applyBorder="1"/>
    <xf numFmtId="0" fontId="13" fillId="24" borderId="17" xfId="0" applyFont="1" applyFill="1" applyBorder="1" applyAlignment="1">
      <alignment horizontal="center" wrapText="1"/>
    </xf>
    <xf numFmtId="0" fontId="6" fillId="0" borderId="0" xfId="0" applyFont="1"/>
    <xf numFmtId="0" fontId="6" fillId="0" borderId="45" xfId="0" applyFont="1" applyBorder="1"/>
    <xf numFmtId="0" fontId="7" fillId="0" borderId="14" xfId="0" applyFont="1" applyBorder="1"/>
    <xf numFmtId="43" fontId="7" fillId="0" borderId="17" xfId="28" applyFont="1" applyBorder="1"/>
    <xf numFmtId="0" fontId="7" fillId="0" borderId="17" xfId="0" applyFont="1" applyFill="1" applyBorder="1"/>
    <xf numFmtId="164" fontId="7" fillId="0" borderId="17" xfId="0" applyNumberFormat="1" applyFont="1" applyBorder="1"/>
    <xf numFmtId="43" fontId="7" fillId="0" borderId="17" xfId="0" applyNumberFormat="1" applyFont="1" applyBorder="1"/>
    <xf numFmtId="0" fontId="7" fillId="0" borderId="0" xfId="0" applyFont="1"/>
    <xf numFmtId="0" fontId="13" fillId="0" borderId="0" xfId="0" applyFont="1"/>
    <xf numFmtId="43" fontId="7" fillId="0" borderId="17" xfId="28" applyFont="1" applyFill="1" applyBorder="1"/>
    <xf numFmtId="43" fontId="7" fillId="0" borderId="17" xfId="0" applyNumberFormat="1" applyFont="1" applyFill="1" applyBorder="1"/>
    <xf numFmtId="0" fontId="7" fillId="24" borderId="17" xfId="0" applyFont="1" applyFill="1" applyBorder="1"/>
    <xf numFmtId="0" fontId="14" fillId="0" borderId="0" xfId="0" applyFont="1"/>
    <xf numFmtId="43" fontId="11" fillId="24" borderId="17" xfId="0" applyNumberFormat="1" applyFont="1" applyFill="1" applyBorder="1"/>
    <xf numFmtId="0" fontId="7" fillId="0" borderId="46" xfId="0" applyFont="1" applyBorder="1" applyAlignment="1">
      <alignment horizontal="center"/>
    </xf>
    <xf numFmtId="164" fontId="7" fillId="24" borderId="17" xfId="0" applyNumberFormat="1" applyFont="1" applyFill="1" applyBorder="1"/>
    <xf numFmtId="0" fontId="11" fillId="24" borderId="17" xfId="0" applyFont="1" applyFill="1" applyBorder="1"/>
    <xf numFmtId="0" fontId="11" fillId="24" borderId="17" xfId="0" applyFont="1" applyFill="1" applyBorder="1" applyAlignment="1">
      <alignment horizontal="left"/>
    </xf>
    <xf numFmtId="164" fontId="11" fillId="0" borderId="17" xfId="28" applyNumberFormat="1" applyFont="1" applyBorder="1" applyAlignment="1"/>
    <xf numFmtId="0" fontId="11" fillId="24" borderId="0" xfId="0" applyFont="1" applyFill="1"/>
    <xf numFmtId="164" fontId="7" fillId="0" borderId="17" xfId="28" applyNumberFormat="1" applyFont="1" applyBorder="1"/>
    <xf numFmtId="164" fontId="3" fillId="0" borderId="13" xfId="0" applyNumberFormat="1" applyFont="1" applyBorder="1"/>
    <xf numFmtId="164" fontId="3" fillId="0" borderId="14" xfId="0" applyNumberFormat="1" applyFont="1" applyBorder="1"/>
    <xf numFmtId="164" fontId="3" fillId="0" borderId="15" xfId="0" applyNumberFormat="1" applyFont="1" applyBorder="1"/>
    <xf numFmtId="164" fontId="3" fillId="0" borderId="47" xfId="0" applyNumberFormat="1" applyFont="1" applyBorder="1"/>
    <xf numFmtId="164" fontId="3" fillId="0" borderId="17" xfId="0" applyNumberFormat="1" applyFont="1" applyBorder="1"/>
    <xf numFmtId="164" fontId="3" fillId="0" borderId="32" xfId="0" applyNumberFormat="1" applyFont="1" applyBorder="1"/>
    <xf numFmtId="164" fontId="3" fillId="0" borderId="19" xfId="0" applyNumberFormat="1" applyFont="1" applyBorder="1"/>
    <xf numFmtId="164" fontId="3" fillId="0" borderId="10" xfId="0" applyNumberFormat="1" applyFont="1" applyBorder="1"/>
    <xf numFmtId="164" fontId="3" fillId="0" borderId="10" xfId="0" applyNumberFormat="1" applyFont="1" applyFill="1" applyBorder="1"/>
    <xf numFmtId="164" fontId="3" fillId="0" borderId="11" xfId="0" applyNumberFormat="1" applyFont="1" applyBorder="1"/>
    <xf numFmtId="2" fontId="3" fillId="0" borderId="47" xfId="0" applyNumberFormat="1" applyFont="1" applyBorder="1"/>
    <xf numFmtId="1" fontId="3" fillId="0" borderId="47" xfId="0" applyNumberFormat="1" applyFont="1" applyBorder="1"/>
    <xf numFmtId="1" fontId="3" fillId="0" borderId="17" xfId="0" applyNumberFormat="1" applyFont="1" applyBorder="1"/>
    <xf numFmtId="1" fontId="3" fillId="24" borderId="17" xfId="0" applyNumberFormat="1" applyFont="1" applyFill="1" applyBorder="1"/>
    <xf numFmtId="1" fontId="3" fillId="0" borderId="32" xfId="0" applyNumberFormat="1" applyFont="1" applyBorder="1"/>
    <xf numFmtId="1" fontId="3" fillId="0" borderId="19" xfId="0" applyNumberFormat="1" applyFont="1" applyBorder="1"/>
    <xf numFmtId="1" fontId="3" fillId="0" borderId="10" xfId="0" applyNumberFormat="1" applyFont="1" applyBorder="1"/>
    <xf numFmtId="1" fontId="3" fillId="24" borderId="10" xfId="0" applyNumberFormat="1" applyFont="1" applyFill="1" applyBorder="1"/>
    <xf numFmtId="1" fontId="3" fillId="0" borderId="16" xfId="0" applyNumberFormat="1" applyFont="1" applyBorder="1"/>
    <xf numFmtId="0" fontId="3" fillId="0" borderId="48" xfId="0" applyFont="1" applyBorder="1"/>
    <xf numFmtId="1" fontId="3" fillId="0" borderId="12" xfId="0" applyNumberFormat="1" applyFont="1" applyBorder="1"/>
    <xf numFmtId="164" fontId="3" fillId="24" borderId="17" xfId="0" applyNumberFormat="1" applyFont="1" applyFill="1" applyBorder="1"/>
    <xf numFmtId="164" fontId="3" fillId="0" borderId="39" xfId="28" applyNumberFormat="1" applyFont="1" applyBorder="1"/>
    <xf numFmtId="0" fontId="3" fillId="24" borderId="14" xfId="0" applyFont="1" applyFill="1" applyBorder="1"/>
    <xf numFmtId="3" fontId="3" fillId="25" borderId="25" xfId="0" applyNumberFormat="1" applyFont="1" applyFill="1" applyBorder="1"/>
    <xf numFmtId="3" fontId="3" fillId="25" borderId="26" xfId="0" applyNumberFormat="1" applyFont="1" applyFill="1" applyBorder="1"/>
    <xf numFmtId="3" fontId="3" fillId="0" borderId="47" xfId="0" applyNumberFormat="1" applyFont="1" applyBorder="1"/>
    <xf numFmtId="3" fontId="3" fillId="0" borderId="17" xfId="0" applyNumberFormat="1" applyFont="1" applyBorder="1"/>
    <xf numFmtId="3" fontId="3" fillId="0" borderId="32" xfId="0" applyNumberFormat="1" applyFont="1" applyBorder="1"/>
    <xf numFmtId="165" fontId="3" fillId="0" borderId="0" xfId="0" applyNumberFormat="1" applyFont="1" applyBorder="1"/>
    <xf numFmtId="165" fontId="3" fillId="0" borderId="17" xfId="0" applyNumberFormat="1" applyFont="1" applyBorder="1"/>
    <xf numFmtId="164" fontId="3" fillId="0" borderId="17" xfId="28" applyNumberFormat="1" applyFont="1" applyBorder="1"/>
    <xf numFmtId="164" fontId="11" fillId="24" borderId="17" xfId="28" applyNumberFormat="1" applyFont="1" applyFill="1" applyBorder="1" applyAlignment="1"/>
    <xf numFmtId="164" fontId="3" fillId="24" borderId="14" xfId="0" applyNumberFormat="1" applyFont="1" applyFill="1" applyBorder="1"/>
    <xf numFmtId="164" fontId="3" fillId="24" borderId="10" xfId="0" applyNumberFormat="1" applyFont="1" applyFill="1" applyBorder="1"/>
    <xf numFmtId="43" fontId="3" fillId="24" borderId="17" xfId="28" applyFont="1" applyFill="1" applyBorder="1"/>
    <xf numFmtId="0" fontId="8" fillId="0" borderId="0" xfId="0" applyFont="1" applyBorder="1"/>
    <xf numFmtId="0" fontId="7" fillId="0" borderId="0" xfId="0" applyFont="1" applyBorder="1" applyAlignment="1">
      <alignment horizontal="left"/>
    </xf>
    <xf numFmtId="43" fontId="7" fillId="0" borderId="0" xfId="0" applyNumberFormat="1" applyFont="1" applyFill="1" applyBorder="1"/>
    <xf numFmtId="0" fontId="7" fillId="0" borderId="0" xfId="0" applyFont="1" applyBorder="1"/>
    <xf numFmtId="3" fontId="7" fillId="25" borderId="0" xfId="0" applyNumberFormat="1" applyFont="1" applyFill="1" applyBorder="1"/>
    <xf numFmtId="3" fontId="7" fillId="0" borderId="0" xfId="0" applyNumberFormat="1" applyFont="1" applyBorder="1"/>
    <xf numFmtId="43" fontId="7" fillId="0" borderId="0" xfId="0" applyNumberFormat="1" applyFont="1" applyBorder="1"/>
    <xf numFmtId="43" fontId="11" fillId="24" borderId="0" xfId="0" applyNumberFormat="1" applyFont="1" applyFill="1" applyBorder="1"/>
    <xf numFmtId="164" fontId="11" fillId="0" borderId="17" xfId="28" applyNumberFormat="1" applyFont="1" applyFill="1" applyBorder="1" applyAlignment="1"/>
    <xf numFmtId="164" fontId="3" fillId="0" borderId="14" xfId="0" applyNumberFormat="1" applyFont="1" applyFill="1" applyBorder="1"/>
    <xf numFmtId="164" fontId="3" fillId="0" borderId="17" xfId="0" applyNumberFormat="1" applyFont="1" applyFill="1" applyBorder="1"/>
    <xf numFmtId="0" fontId="3" fillId="0" borderId="14" xfId="0" applyFont="1" applyFill="1" applyBorder="1"/>
    <xf numFmtId="1" fontId="3" fillId="0" borderId="47" xfId="41" applyNumberFormat="1" applyFont="1" applyBorder="1"/>
    <xf numFmtId="166" fontId="3" fillId="0" borderId="47" xfId="41" applyNumberFormat="1" applyFont="1" applyBorder="1"/>
    <xf numFmtId="164" fontId="7" fillId="0" borderId="17" xfId="28" applyNumberFormat="1" applyFont="1" applyFill="1" applyBorder="1" applyAlignment="1"/>
    <xf numFmtId="0" fontId="7" fillId="0" borderId="17" xfId="0" applyFont="1" applyBorder="1" applyAlignment="1">
      <alignment horizontal="right"/>
    </xf>
    <xf numFmtId="164" fontId="7" fillId="0" borderId="17" xfId="41" applyNumberFormat="1" applyFont="1" applyBorder="1"/>
    <xf numFmtId="166" fontId="7" fillId="0" borderId="17" xfId="41" applyNumberFormat="1" applyFont="1" applyBorder="1"/>
    <xf numFmtId="0" fontId="7" fillId="0" borderId="17" xfId="0" applyFont="1" applyBorder="1" applyAlignment="1">
      <alignment horizontal="left"/>
    </xf>
    <xf numFmtId="43" fontId="31" fillId="0" borderId="17" xfId="0" applyNumberFormat="1" applyFont="1" applyBorder="1"/>
    <xf numFmtId="10" fontId="3" fillId="0" borderId="0" xfId="0" applyNumberFormat="1" applyFont="1" applyBorder="1"/>
    <xf numFmtId="0" fontId="3" fillId="0" borderId="0" xfId="0" applyFont="1" applyFill="1" applyBorder="1"/>
    <xf numFmtId="164" fontId="27" fillId="0" borderId="17" xfId="0" applyNumberFormat="1" applyFont="1" applyBorder="1"/>
    <xf numFmtId="164" fontId="3" fillId="0" borderId="32" xfId="28" applyNumberFormat="1" applyFont="1" applyBorder="1"/>
    <xf numFmtId="43" fontId="3" fillId="0" borderId="10" xfId="28" applyFont="1" applyBorder="1"/>
    <xf numFmtId="43" fontId="3" fillId="24" borderId="10" xfId="28" applyFont="1" applyFill="1" applyBorder="1"/>
    <xf numFmtId="164" fontId="3" fillId="0" borderId="10" xfId="28" applyNumberFormat="1" applyFont="1" applyBorder="1"/>
    <xf numFmtId="164" fontId="27" fillId="0" borderId="10" xfId="0" applyNumberFormat="1" applyFont="1" applyBorder="1"/>
    <xf numFmtId="164" fontId="27" fillId="0" borderId="11" xfId="0" applyNumberFormat="1" applyFont="1" applyBorder="1"/>
    <xf numFmtId="3" fontId="3" fillId="24" borderId="24" xfId="0" applyNumberFormat="1" applyFont="1" applyFill="1" applyBorder="1"/>
    <xf numFmtId="3" fontId="3" fillId="24" borderId="25" xfId="0" applyNumberFormat="1" applyFont="1" applyFill="1" applyBorder="1"/>
    <xf numFmtId="43" fontId="32" fillId="0" borderId="47" xfId="0" applyNumberFormat="1" applyFont="1" applyBorder="1"/>
    <xf numFmtId="1" fontId="32" fillId="24" borderId="17" xfId="0" applyNumberFormat="1" applyFont="1" applyFill="1" applyBorder="1"/>
    <xf numFmtId="1" fontId="32" fillId="24" borderId="10" xfId="0" applyNumberFormat="1" applyFont="1" applyFill="1" applyBorder="1"/>
    <xf numFmtId="1" fontId="32" fillId="0" borderId="17" xfId="0" applyNumberFormat="1" applyFont="1" applyFill="1" applyBorder="1" applyAlignment="1">
      <alignment horizontal="right"/>
    </xf>
    <xf numFmtId="1" fontId="32" fillId="0" borderId="10" xfId="0" applyNumberFormat="1" applyFont="1" applyFill="1" applyBorder="1" applyAlignment="1">
      <alignment horizontal="right"/>
    </xf>
    <xf numFmtId="0" fontId="10" fillId="0" borderId="17" xfId="35" applyBorder="1" applyAlignment="1" applyProtection="1"/>
    <xf numFmtId="10" fontId="7" fillId="0" borderId="17" xfId="0" applyNumberFormat="1" applyFont="1" applyBorder="1"/>
    <xf numFmtId="164" fontId="31" fillId="0" borderId="17" xfId="28" applyNumberFormat="1" applyFont="1" applyBorder="1"/>
    <xf numFmtId="3" fontId="7" fillId="25" borderId="17" xfId="0" applyNumberFormat="1" applyFont="1" applyFill="1" applyBorder="1" applyAlignment="1">
      <alignment horizontal="right"/>
    </xf>
    <xf numFmtId="0" fontId="4" fillId="0" borderId="0" xfId="0" applyFont="1" applyBorder="1"/>
    <xf numFmtId="0" fontId="4" fillId="27" borderId="20" xfId="0" applyFont="1" applyFill="1" applyBorder="1"/>
    <xf numFmtId="0" fontId="4" fillId="28" borderId="49" xfId="0" applyFont="1" applyFill="1" applyBorder="1" applyAlignment="1">
      <alignment horizontal="center"/>
    </xf>
    <xf numFmtId="0" fontId="4" fillId="29" borderId="49" xfId="0" applyFont="1" applyFill="1" applyBorder="1" applyAlignment="1">
      <alignment horizontal="center"/>
    </xf>
    <xf numFmtId="0" fontId="4" fillId="0" borderId="37" xfId="0" applyFont="1" applyBorder="1"/>
    <xf numFmtId="3" fontId="34" fillId="0" borderId="37" xfId="0" applyNumberFormat="1" applyFont="1" applyBorder="1"/>
    <xf numFmtId="0" fontId="4" fillId="28" borderId="37" xfId="0" applyFont="1" applyFill="1" applyBorder="1" applyAlignment="1">
      <alignment horizontal="center"/>
    </xf>
    <xf numFmtId="0" fontId="4" fillId="29" borderId="37" xfId="0" applyFont="1" applyFill="1" applyBorder="1" applyAlignment="1">
      <alignment horizontal="center"/>
    </xf>
    <xf numFmtId="166" fontId="3" fillId="0" borderId="37" xfId="0" applyNumberFormat="1" applyFont="1" applyBorder="1"/>
    <xf numFmtId="0" fontId="34" fillId="28" borderId="38" xfId="0" applyFont="1" applyFill="1" applyBorder="1" applyAlignment="1">
      <alignment horizontal="center"/>
    </xf>
    <xf numFmtId="0" fontId="34" fillId="29" borderId="38" xfId="0" applyFont="1" applyFill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35" fillId="0" borderId="37" xfId="0" applyFont="1" applyBorder="1" applyAlignment="1">
      <alignment horizontal="center"/>
    </xf>
    <xf numFmtId="9" fontId="3" fillId="0" borderId="37" xfId="41" applyFont="1" applyBorder="1" applyAlignment="1">
      <alignment horizontal="center"/>
    </xf>
    <xf numFmtId="0" fontId="3" fillId="0" borderId="37" xfId="0" applyFont="1" applyBorder="1" applyAlignment="1">
      <alignment horizontal="right"/>
    </xf>
    <xf numFmtId="167" fontId="3" fillId="0" borderId="37" xfId="0" applyNumberFormat="1" applyFont="1" applyBorder="1"/>
    <xf numFmtId="0" fontId="4" fillId="0" borderId="38" xfId="0" applyFont="1" applyBorder="1"/>
    <xf numFmtId="0" fontId="3" fillId="0" borderId="38" xfId="0" applyFont="1" applyBorder="1"/>
    <xf numFmtId="167" fontId="4" fillId="30" borderId="20" xfId="0" applyNumberFormat="1" applyFont="1" applyFill="1" applyBorder="1" applyAlignment="1">
      <alignment horizontal="center"/>
    </xf>
    <xf numFmtId="167" fontId="4" fillId="30" borderId="56" xfId="0" applyNumberFormat="1" applyFont="1" applyFill="1" applyBorder="1" applyAlignment="1">
      <alignment horizontal="center"/>
    </xf>
    <xf numFmtId="9" fontId="4" fillId="30" borderId="20" xfId="0" applyNumberFormat="1" applyFont="1" applyFill="1" applyBorder="1" applyAlignment="1">
      <alignment horizontal="center"/>
    </xf>
    <xf numFmtId="0" fontId="34" fillId="0" borderId="0" xfId="0" applyFont="1" applyBorder="1"/>
    <xf numFmtId="0" fontId="4" fillId="0" borderId="17" xfId="0" applyFont="1" applyBorder="1" applyAlignment="1">
      <alignment wrapText="1"/>
    </xf>
    <xf numFmtId="0" fontId="4" fillId="30" borderId="17" xfId="0" applyFont="1" applyFill="1" applyBorder="1" applyAlignment="1">
      <alignment horizontal="left"/>
    </xf>
    <xf numFmtId="3" fontId="4" fillId="0" borderId="17" xfId="0" applyNumberFormat="1" applyFont="1" applyBorder="1" applyAlignment="1">
      <alignment horizontal="right"/>
    </xf>
    <xf numFmtId="3" fontId="3" fillId="31" borderId="17" xfId="0" applyNumberFormat="1" applyFont="1" applyFill="1" applyBorder="1"/>
    <xf numFmtId="3" fontId="4" fillId="0" borderId="0" xfId="0" applyNumberFormat="1" applyFont="1"/>
    <xf numFmtId="3" fontId="36" fillId="0" borderId="0" xfId="0" applyNumberFormat="1" applyFont="1"/>
    <xf numFmtId="0" fontId="4" fillId="30" borderId="20" xfId="0" applyFont="1" applyFill="1" applyBorder="1" applyAlignment="1">
      <alignment horizontal="left"/>
    </xf>
    <xf numFmtId="0" fontId="3" fillId="32" borderId="17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17" xfId="0" applyFont="1" applyBorder="1"/>
    <xf numFmtId="168" fontId="3" fillId="32" borderId="17" xfId="28" applyNumberFormat="1" applyFont="1" applyFill="1" applyBorder="1"/>
    <xf numFmtId="0" fontId="3" fillId="0" borderId="17" xfId="0" applyFont="1" applyFill="1" applyBorder="1"/>
    <xf numFmtId="168" fontId="3" fillId="0" borderId="17" xfId="0" applyNumberFormat="1" applyFont="1" applyBorder="1"/>
    <xf numFmtId="3" fontId="4" fillId="32" borderId="17" xfId="0" applyNumberFormat="1" applyFont="1" applyFill="1" applyBorder="1"/>
    <xf numFmtId="3" fontId="4" fillId="33" borderId="17" xfId="0" applyNumberFormat="1" applyFont="1" applyFill="1" applyBorder="1"/>
    <xf numFmtId="2" fontId="3" fillId="0" borderId="37" xfId="0" applyNumberFormat="1" applyFont="1" applyBorder="1"/>
    <xf numFmtId="3" fontId="38" fillId="0" borderId="0" xfId="0" applyNumberFormat="1" applyFont="1" applyBorder="1"/>
    <xf numFmtId="0" fontId="38" fillId="0" borderId="0" xfId="0" applyFont="1"/>
    <xf numFmtId="3" fontId="38" fillId="0" borderId="0" xfId="0" applyNumberFormat="1" applyFont="1"/>
    <xf numFmtId="3" fontId="38" fillId="27" borderId="20" xfId="0" applyNumberFormat="1" applyFont="1" applyFill="1" applyBorder="1"/>
    <xf numFmtId="0" fontId="38" fillId="0" borderId="0" xfId="0" applyFont="1" applyBorder="1"/>
    <xf numFmtId="0" fontId="38" fillId="0" borderId="37" xfId="0" applyFont="1" applyBorder="1"/>
    <xf numFmtId="0" fontId="38" fillId="0" borderId="37" xfId="0" applyFont="1" applyBorder="1" applyAlignment="1">
      <alignment horizontal="right"/>
    </xf>
    <xf numFmtId="0" fontId="38" fillId="0" borderId="38" xfId="0" applyFont="1" applyBorder="1"/>
    <xf numFmtId="0" fontId="38" fillId="0" borderId="0" xfId="0" applyFont="1" applyFill="1" applyBorder="1"/>
    <xf numFmtId="3" fontId="38" fillId="0" borderId="0" xfId="0" applyNumberFormat="1" applyFont="1" applyFill="1" applyBorder="1"/>
    <xf numFmtId="10" fontId="38" fillId="0" borderId="0" xfId="41" applyNumberFormat="1" applyFont="1"/>
    <xf numFmtId="9" fontId="38" fillId="0" borderId="0" xfId="41" applyFont="1"/>
    <xf numFmtId="0" fontId="38" fillId="0" borderId="17" xfId="0" applyFont="1" applyBorder="1"/>
    <xf numFmtId="10" fontId="38" fillId="0" borderId="17" xfId="41" applyNumberFormat="1" applyFont="1" applyBorder="1"/>
    <xf numFmtId="9" fontId="38" fillId="31" borderId="17" xfId="41" applyFont="1" applyFill="1" applyBorder="1"/>
    <xf numFmtId="9" fontId="38" fillId="0" borderId="0" xfId="41" applyFont="1" applyBorder="1"/>
    <xf numFmtId="3" fontId="38" fillId="31" borderId="17" xfId="0" applyNumberFormat="1" applyFont="1" applyFill="1" applyBorder="1"/>
    <xf numFmtId="43" fontId="0" fillId="0" borderId="32" xfId="0" applyNumberFormat="1" applyBorder="1" applyAlignment="1">
      <alignment horizontal="right"/>
    </xf>
    <xf numFmtId="43" fontId="0" fillId="0" borderId="26" xfId="0" applyNumberFormat="1" applyBorder="1" applyAlignment="1"/>
    <xf numFmtId="0" fontId="0" fillId="0" borderId="32" xfId="0" applyBorder="1" applyAlignment="1">
      <alignment vertical="center"/>
    </xf>
    <xf numFmtId="43" fontId="0" fillId="0" borderId="11" xfId="0" applyNumberFormat="1" applyBorder="1" applyAlignment="1">
      <alignment horizontal="center"/>
    </xf>
    <xf numFmtId="0" fontId="29" fillId="34" borderId="0" xfId="0" applyFont="1" applyFill="1"/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49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3" fillId="0" borderId="50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7" fillId="0" borderId="53" xfId="0" applyFont="1" applyBorder="1" applyAlignment="1">
      <alignment horizontal="left"/>
    </xf>
    <xf numFmtId="0" fontId="7" fillId="0" borderId="47" xfId="0" applyFont="1" applyBorder="1" applyAlignment="1">
      <alignment horizontal="left"/>
    </xf>
    <xf numFmtId="0" fontId="6" fillId="24" borderId="46" xfId="0" applyFont="1" applyFill="1" applyBorder="1" applyAlignment="1">
      <alignment horizontal="left" vertical="top" wrapText="1"/>
    </xf>
    <xf numFmtId="0" fontId="6" fillId="24" borderId="14" xfId="0" applyFont="1" applyFill="1" applyBorder="1" applyAlignment="1">
      <alignment horizontal="left" vertical="top" wrapText="1"/>
    </xf>
    <xf numFmtId="0" fontId="6" fillId="24" borderId="17" xfId="0" applyFont="1" applyFill="1" applyBorder="1" applyAlignment="1">
      <alignment vertical="center"/>
    </xf>
    <xf numFmtId="0" fontId="6" fillId="24" borderId="17" xfId="0" applyFont="1" applyFill="1" applyBorder="1" applyAlignment="1">
      <alignment horizontal="left" vertical="top" wrapText="1"/>
    </xf>
    <xf numFmtId="0" fontId="7" fillId="0" borderId="17" xfId="0" applyFont="1" applyBorder="1" applyAlignment="1">
      <alignment horizontal="left"/>
    </xf>
    <xf numFmtId="0" fontId="7" fillId="0" borderId="53" xfId="0" applyFont="1" applyFill="1" applyBorder="1" applyAlignment="1">
      <alignment horizontal="left"/>
    </xf>
    <xf numFmtId="0" fontId="7" fillId="0" borderId="47" xfId="0" applyFont="1" applyFill="1" applyBorder="1" applyAlignment="1">
      <alignment horizontal="left"/>
    </xf>
    <xf numFmtId="0" fontId="7" fillId="24" borderId="46" xfId="0" applyFont="1" applyFill="1" applyBorder="1" applyAlignment="1">
      <alignment horizontal="left" vertical="top"/>
    </xf>
    <xf numFmtId="0" fontId="7" fillId="24" borderId="14" xfId="0" applyFont="1" applyFill="1" applyBorder="1" applyAlignment="1">
      <alignment horizontal="left" vertical="top"/>
    </xf>
    <xf numFmtId="0" fontId="6" fillId="24" borderId="17" xfId="0" applyFont="1" applyFill="1" applyBorder="1" applyAlignment="1">
      <alignment horizontal="left"/>
    </xf>
    <xf numFmtId="0" fontId="7" fillId="0" borderId="46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3" fillId="24" borderId="17" xfId="0" applyFont="1" applyFill="1" applyBorder="1" applyAlignment="1">
      <alignment horizontal="center"/>
    </xf>
    <xf numFmtId="0" fontId="6" fillId="24" borderId="17" xfId="0" applyFont="1" applyFill="1" applyBorder="1" applyAlignment="1">
      <alignment horizontal="center"/>
    </xf>
    <xf numFmtId="0" fontId="13" fillId="24" borderId="53" xfId="0" applyFont="1" applyFill="1" applyBorder="1" applyAlignment="1">
      <alignment horizontal="center" vertical="top" wrapText="1"/>
    </xf>
    <xf numFmtId="0" fontId="13" fillId="24" borderId="54" xfId="0" applyFont="1" applyFill="1" applyBorder="1" applyAlignment="1">
      <alignment horizontal="center" vertical="top" wrapText="1"/>
    </xf>
    <xf numFmtId="0" fontId="13" fillId="24" borderId="47" xfId="0" applyFont="1" applyFill="1" applyBorder="1" applyAlignment="1">
      <alignment horizontal="center" vertical="top" wrapText="1"/>
    </xf>
    <xf numFmtId="0" fontId="6" fillId="24" borderId="46" xfId="0" applyFont="1" applyFill="1" applyBorder="1" applyAlignment="1">
      <alignment horizontal="center"/>
    </xf>
    <xf numFmtId="0" fontId="6" fillId="24" borderId="14" xfId="0" applyFont="1" applyFill="1" applyBorder="1" applyAlignment="1">
      <alignment horizontal="center"/>
    </xf>
    <xf numFmtId="0" fontId="6" fillId="24" borderId="17" xfId="0" applyFont="1" applyFill="1" applyBorder="1" applyAlignment="1">
      <alignment horizontal="left" vertical="top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Percent" xfId="41" builtinId="5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imetric.co.uk.ht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X109"/>
  <sheetViews>
    <sheetView workbookViewId="0">
      <selection activeCell="E109" sqref="E109"/>
    </sheetView>
  </sheetViews>
  <sheetFormatPr defaultRowHeight="15"/>
  <cols>
    <col min="1" max="1" width="63" customWidth="1"/>
    <col min="2" max="2" width="15.85546875" customWidth="1"/>
    <col min="3" max="3" width="12.5703125" customWidth="1"/>
    <col min="4" max="4" width="11.85546875" customWidth="1"/>
    <col min="5" max="5" width="12.85546875" bestFit="1" customWidth="1"/>
    <col min="6" max="6" width="15.7109375" customWidth="1"/>
    <col min="7" max="8" width="12.85546875" bestFit="1" customWidth="1"/>
    <col min="9" max="10" width="13" customWidth="1"/>
    <col min="11" max="11" width="10.28515625" customWidth="1"/>
    <col min="12" max="12" width="12" customWidth="1"/>
    <col min="13" max="13" width="17.85546875" customWidth="1"/>
    <col min="14" max="14" width="13.85546875" customWidth="1"/>
    <col min="15" max="15" width="14.42578125" customWidth="1"/>
    <col min="16" max="16" width="14" bestFit="1" customWidth="1"/>
    <col min="17" max="17" width="11.7109375" bestFit="1" customWidth="1"/>
    <col min="18" max="18" width="12.85546875" customWidth="1"/>
    <col min="19" max="19" width="12.28515625" customWidth="1"/>
    <col min="20" max="20" width="15.140625" customWidth="1"/>
    <col min="24" max="24" width="12.7109375" bestFit="1" customWidth="1"/>
  </cols>
  <sheetData>
    <row r="2" spans="1:8" ht="18">
      <c r="C2" s="1" t="s">
        <v>0</v>
      </c>
    </row>
    <row r="3" spans="1:8" ht="18">
      <c r="C3" s="1"/>
    </row>
    <row r="4" spans="1:8" ht="15.75">
      <c r="A4" s="2" t="s">
        <v>37</v>
      </c>
      <c r="B4" s="14"/>
      <c r="C4" s="14"/>
      <c r="D4" s="14"/>
    </row>
    <row r="5" spans="1:8" ht="15.75" thickBot="1">
      <c r="D5" s="14"/>
    </row>
    <row r="6" spans="1:8" ht="15.75" thickBot="1">
      <c r="A6" s="36" t="s">
        <v>31</v>
      </c>
      <c r="B6" s="20" t="s">
        <v>32</v>
      </c>
      <c r="C6" s="21" t="s">
        <v>33</v>
      </c>
      <c r="D6" s="23" t="s">
        <v>38</v>
      </c>
    </row>
    <row r="7" spans="1:8" ht="15.75" thickBot="1">
      <c r="A7" s="28" t="s">
        <v>39</v>
      </c>
      <c r="B7" s="29" t="s">
        <v>40</v>
      </c>
      <c r="C7" s="25">
        <v>43.33</v>
      </c>
      <c r="D7" s="27" t="s">
        <v>89</v>
      </c>
    </row>
    <row r="8" spans="1:8" ht="15.75" thickBot="1">
      <c r="A8" s="32" t="s">
        <v>41</v>
      </c>
      <c r="B8" s="9" t="s">
        <v>40</v>
      </c>
      <c r="C8" s="108">
        <v>48</v>
      </c>
      <c r="D8" s="27" t="s">
        <v>89</v>
      </c>
    </row>
    <row r="9" spans="1:8" ht="15.75" thickBot="1">
      <c r="A9" s="32" t="s">
        <v>42</v>
      </c>
      <c r="B9" s="9" t="s">
        <v>43</v>
      </c>
      <c r="C9" s="108">
        <v>74.099999999999994</v>
      </c>
      <c r="D9" s="27" t="s">
        <v>89</v>
      </c>
      <c r="F9" s="155"/>
      <c r="G9" s="155"/>
      <c r="H9" s="155" t="s">
        <v>163</v>
      </c>
    </row>
    <row r="10" spans="1:8" ht="15.75" thickBot="1">
      <c r="A10" s="32" t="s">
        <v>44</v>
      </c>
      <c r="B10" s="9" t="s">
        <v>162</v>
      </c>
      <c r="C10" s="108">
        <f>C11/1000</f>
        <v>5.6100000000000004E-2</v>
      </c>
      <c r="D10" s="27" t="s">
        <v>89</v>
      </c>
    </row>
    <row r="11" spans="1:8" ht="15.75" thickBot="1">
      <c r="A11" s="32" t="s">
        <v>44</v>
      </c>
      <c r="B11" s="9" t="s">
        <v>43</v>
      </c>
      <c r="C11" s="108">
        <v>56.1</v>
      </c>
      <c r="D11" s="27" t="s">
        <v>89</v>
      </c>
    </row>
    <row r="12" spans="1:8" ht="15.75" thickBot="1">
      <c r="A12" s="32" t="s">
        <v>45</v>
      </c>
      <c r="B12" s="9" t="s">
        <v>46</v>
      </c>
      <c r="C12" s="108">
        <v>0.8</v>
      </c>
      <c r="D12" s="27" t="s">
        <v>89</v>
      </c>
    </row>
    <row r="13" spans="1:8" ht="15.75" thickBot="1">
      <c r="A13" s="34" t="s">
        <v>47</v>
      </c>
      <c r="B13" s="12" t="s">
        <v>46</v>
      </c>
      <c r="C13" s="13">
        <v>885</v>
      </c>
      <c r="D13" s="27" t="s">
        <v>89</v>
      </c>
    </row>
    <row r="14" spans="1:8">
      <c r="A14" s="16" t="s">
        <v>160</v>
      </c>
      <c r="B14" s="16" t="s">
        <v>95</v>
      </c>
      <c r="C14" s="154">
        <v>0.39500000000000002</v>
      </c>
      <c r="D14" s="16" t="s">
        <v>161</v>
      </c>
    </row>
    <row r="15" spans="1:8">
      <c r="A15" s="16"/>
      <c r="B15" s="16"/>
      <c r="C15" s="16"/>
      <c r="D15" s="16"/>
    </row>
    <row r="16" spans="1:8">
      <c r="A16" s="16"/>
      <c r="B16" s="16"/>
      <c r="C16" s="16"/>
      <c r="D16" s="16"/>
    </row>
    <row r="17" spans="1:20">
      <c r="A17" s="14"/>
    </row>
    <row r="18" spans="1:20" ht="15.75">
      <c r="A18" s="2" t="s">
        <v>48</v>
      </c>
      <c r="D18" s="14"/>
    </row>
    <row r="19" spans="1:20" ht="15.75" thickBot="1">
      <c r="A19" s="14"/>
      <c r="D19" s="14"/>
    </row>
    <row r="20" spans="1:20">
      <c r="A20" s="38" t="s">
        <v>49</v>
      </c>
      <c r="B20" s="26">
        <v>16.018000000000001</v>
      </c>
      <c r="C20" s="27" t="s">
        <v>46</v>
      </c>
      <c r="D20" s="14"/>
    </row>
    <row r="21" spans="1:20">
      <c r="A21" s="39" t="s">
        <v>50</v>
      </c>
      <c r="B21" s="10">
        <v>6.2399999999999997E-2</v>
      </c>
      <c r="C21" s="37" t="s">
        <v>51</v>
      </c>
      <c r="D21" s="14"/>
    </row>
    <row r="22" spans="1:20">
      <c r="A22" s="39" t="s">
        <v>52</v>
      </c>
      <c r="B22" s="10">
        <v>2.8299999999999999E-2</v>
      </c>
      <c r="C22" s="37" t="s">
        <v>53</v>
      </c>
      <c r="D22" s="14"/>
    </row>
    <row r="23" spans="1:20" ht="15.75" thickBot="1">
      <c r="A23" s="40" t="s">
        <v>54</v>
      </c>
      <c r="B23" s="3">
        <v>3.6</v>
      </c>
      <c r="C23" s="4" t="s">
        <v>55</v>
      </c>
      <c r="D23" s="14"/>
    </row>
    <row r="24" spans="1:20" ht="18">
      <c r="C24" s="1"/>
    </row>
    <row r="26" spans="1:20">
      <c r="A26" s="14"/>
      <c r="B26" s="14"/>
      <c r="C26" s="14"/>
      <c r="D26" s="14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20" ht="15.75">
      <c r="A27" s="2" t="s">
        <v>132</v>
      </c>
      <c r="B27" s="14"/>
      <c r="C27" s="14"/>
      <c r="D27" s="14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20" ht="15.75" thickBot="1">
      <c r="A28" s="14"/>
      <c r="B28" s="14"/>
      <c r="C28" s="14"/>
      <c r="D28" s="14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20">
      <c r="A29" s="241" t="s">
        <v>26</v>
      </c>
      <c r="B29" s="243" t="s">
        <v>27</v>
      </c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40"/>
    </row>
    <row r="30" spans="1:20" ht="15.75" thickBot="1">
      <c r="A30" s="242"/>
      <c r="B30" s="13" t="s">
        <v>2</v>
      </c>
      <c r="C30" s="3" t="s">
        <v>3</v>
      </c>
      <c r="D30" s="3" t="s">
        <v>4</v>
      </c>
      <c r="E30" s="3" t="s">
        <v>139</v>
      </c>
      <c r="F30" s="3" t="s">
        <v>5</v>
      </c>
      <c r="G30" s="3" t="s">
        <v>6</v>
      </c>
      <c r="H30" s="3" t="s">
        <v>7</v>
      </c>
      <c r="I30" s="3" t="s">
        <v>8</v>
      </c>
      <c r="J30" s="3" t="s">
        <v>9</v>
      </c>
      <c r="K30" s="3" t="s">
        <v>10</v>
      </c>
      <c r="L30" s="3" t="s">
        <v>11</v>
      </c>
      <c r="M30" s="3" t="s">
        <v>12</v>
      </c>
      <c r="N30" s="3" t="s">
        <v>13</v>
      </c>
      <c r="O30" s="3" t="s">
        <v>14</v>
      </c>
      <c r="P30" s="3" t="s">
        <v>142</v>
      </c>
      <c r="Q30" s="3" t="s">
        <v>15</v>
      </c>
      <c r="R30" s="3" t="s">
        <v>16</v>
      </c>
      <c r="S30" s="3" t="s">
        <v>17</v>
      </c>
      <c r="T30" s="4" t="s">
        <v>18</v>
      </c>
    </row>
    <row r="31" spans="1:20">
      <c r="A31" s="5" t="s">
        <v>120</v>
      </c>
      <c r="B31" s="64">
        <f>2878774</f>
        <v>2878774</v>
      </c>
      <c r="C31" s="95">
        <f>2703750</f>
        <v>2703750</v>
      </c>
      <c r="D31" s="64">
        <v>2425575</v>
      </c>
      <c r="E31" s="130"/>
      <c r="F31" s="95">
        <v>7962764.29</v>
      </c>
      <c r="G31" s="95">
        <f>1025568</f>
        <v>1025568</v>
      </c>
      <c r="H31" s="95">
        <f>1247813.4</f>
        <v>1247813.3999999999</v>
      </c>
      <c r="I31" s="95">
        <f>3933785.2</f>
        <v>3933785.2</v>
      </c>
      <c r="J31" s="95">
        <f>1953276.39</f>
        <v>1953276.39</v>
      </c>
      <c r="K31" s="95">
        <f>935.78</f>
        <v>935.78</v>
      </c>
      <c r="L31" s="95">
        <f>1408.6</f>
        <v>1408.6</v>
      </c>
      <c r="M31" s="95">
        <f>1060.4</f>
        <v>1060.4000000000001</v>
      </c>
      <c r="N31" s="95">
        <v>0</v>
      </c>
      <c r="O31" s="95">
        <v>0</v>
      </c>
      <c r="P31" s="142">
        <v>0</v>
      </c>
      <c r="Q31" s="95">
        <v>0</v>
      </c>
      <c r="R31" s="95">
        <v>0</v>
      </c>
      <c r="S31" s="95">
        <v>0</v>
      </c>
      <c r="T31" s="95">
        <v>0</v>
      </c>
    </row>
    <row r="32" spans="1:20">
      <c r="A32" s="5" t="s">
        <v>121</v>
      </c>
      <c r="B32" s="64">
        <f>2586929.35</f>
        <v>2586929.35</v>
      </c>
      <c r="C32" s="95">
        <f>2268230</f>
        <v>2268230</v>
      </c>
      <c r="D32" s="64">
        <v>1236090</v>
      </c>
      <c r="E32" s="130"/>
      <c r="F32" s="95">
        <f>8592097.13</f>
        <v>8592097.1300000008</v>
      </c>
      <c r="G32" s="95">
        <f>878417</f>
        <v>878417</v>
      </c>
      <c r="H32" s="95">
        <f>1838933.7</f>
        <v>1838933.7</v>
      </c>
      <c r="I32" s="95">
        <f>3235212.4</f>
        <v>3235212.4</v>
      </c>
      <c r="J32" s="95">
        <f>2018363.57</f>
        <v>2018363.57</v>
      </c>
      <c r="K32" s="95">
        <f>201.72</f>
        <v>201.72</v>
      </c>
      <c r="L32" s="95">
        <v>0</v>
      </c>
      <c r="M32" s="95">
        <v>0</v>
      </c>
      <c r="N32" s="95">
        <f>1343611</f>
        <v>1343611</v>
      </c>
      <c r="O32" s="95">
        <f>80597</f>
        <v>80597</v>
      </c>
      <c r="P32" s="142">
        <v>0</v>
      </c>
      <c r="Q32" s="95">
        <v>0</v>
      </c>
      <c r="R32" s="95">
        <v>0</v>
      </c>
      <c r="S32" s="95">
        <v>0</v>
      </c>
      <c r="T32" s="95">
        <v>0</v>
      </c>
    </row>
    <row r="33" spans="1:24">
      <c r="A33" s="5" t="s">
        <v>28</v>
      </c>
      <c r="B33" s="98">
        <v>2366716.48</v>
      </c>
      <c r="C33" s="99">
        <v>2171747</v>
      </c>
      <c r="D33" s="99">
        <v>2432640</v>
      </c>
      <c r="E33" s="131"/>
      <c r="F33" s="99">
        <v>4924478.22</v>
      </c>
      <c r="G33" s="99">
        <v>185079</v>
      </c>
      <c r="H33" s="99">
        <v>1864110.3</v>
      </c>
      <c r="I33" s="99">
        <v>3752053.6</v>
      </c>
      <c r="J33" s="99">
        <v>1966491.67</v>
      </c>
      <c r="K33" s="99">
        <v>0</v>
      </c>
      <c r="L33" s="99">
        <v>0</v>
      </c>
      <c r="M33" s="99">
        <v>0</v>
      </c>
      <c r="N33" s="99">
        <v>3267430</v>
      </c>
      <c r="O33" s="99">
        <v>356452</v>
      </c>
      <c r="P33" s="143">
        <v>12282</v>
      </c>
      <c r="Q33" s="99">
        <v>0</v>
      </c>
      <c r="R33" s="99">
        <v>0</v>
      </c>
      <c r="S33" s="99">
        <v>0</v>
      </c>
      <c r="T33" s="100">
        <v>0</v>
      </c>
    </row>
    <row r="34" spans="1:24">
      <c r="A34" s="9" t="s">
        <v>29</v>
      </c>
      <c r="B34" s="101">
        <v>2816749.7</v>
      </c>
      <c r="C34" s="102">
        <v>2728899</v>
      </c>
      <c r="D34" s="102">
        <v>2230761</v>
      </c>
      <c r="E34" s="119"/>
      <c r="F34" s="102">
        <v>3636680.32</v>
      </c>
      <c r="G34" s="102">
        <v>490790</v>
      </c>
      <c r="H34" s="102">
        <v>1274102.7</v>
      </c>
      <c r="I34" s="102">
        <v>2696718.6</v>
      </c>
      <c r="J34" s="102">
        <v>1675496.28</v>
      </c>
      <c r="K34" s="102">
        <v>0</v>
      </c>
      <c r="L34" s="102">
        <v>0</v>
      </c>
      <c r="M34" s="102">
        <v>0</v>
      </c>
      <c r="N34" s="102">
        <v>3294207</v>
      </c>
      <c r="O34" s="102">
        <v>572517</v>
      </c>
      <c r="P34" s="144">
        <v>429267.53</v>
      </c>
      <c r="Q34" s="102">
        <v>146800.91</v>
      </c>
      <c r="R34" s="102">
        <v>1193552.8799999999</v>
      </c>
      <c r="S34" s="102">
        <v>0</v>
      </c>
      <c r="T34" s="103">
        <v>0</v>
      </c>
      <c r="X34" s="15"/>
    </row>
    <row r="35" spans="1:24" ht="15.75" thickBot="1">
      <c r="A35" s="12" t="s">
        <v>30</v>
      </c>
      <c r="B35" s="104">
        <v>2707020</v>
      </c>
      <c r="C35" s="105">
        <v>2794976</v>
      </c>
      <c r="D35" s="105">
        <v>1941344</v>
      </c>
      <c r="E35" s="132"/>
      <c r="F35" s="106">
        <v>4381563.59</v>
      </c>
      <c r="G35" s="105">
        <v>728977</v>
      </c>
      <c r="H35" s="105">
        <v>312271.59999999998</v>
      </c>
      <c r="I35" s="105">
        <v>1510988</v>
      </c>
      <c r="J35" s="105">
        <v>1846701.9</v>
      </c>
      <c r="K35" s="105">
        <v>0</v>
      </c>
      <c r="L35" s="105">
        <v>0</v>
      </c>
      <c r="M35" s="105">
        <v>0</v>
      </c>
      <c r="N35" s="105">
        <v>2708671</v>
      </c>
      <c r="O35" s="105">
        <v>30344</v>
      </c>
      <c r="P35" s="106">
        <v>297580.26</v>
      </c>
      <c r="Q35" s="105">
        <v>491852.3</v>
      </c>
      <c r="R35" s="105">
        <v>995874.58</v>
      </c>
      <c r="S35" s="105">
        <v>418545.88</v>
      </c>
      <c r="T35" s="107">
        <v>142388.78</v>
      </c>
    </row>
    <row r="36" spans="1:24">
      <c r="A36" s="16"/>
      <c r="B36" s="16"/>
      <c r="C36" s="16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6"/>
      <c r="R36" s="16"/>
      <c r="S36" s="16"/>
      <c r="T36" s="16"/>
    </row>
    <row r="37" spans="1:24">
      <c r="A37" s="16"/>
      <c r="B37" s="16"/>
      <c r="C37" s="16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6"/>
      <c r="R37" s="16"/>
      <c r="S37" s="16"/>
      <c r="T37" s="16"/>
    </row>
    <row r="38" spans="1:24" ht="15.75">
      <c r="A38" s="2" t="s">
        <v>119</v>
      </c>
      <c r="N38" s="17"/>
      <c r="O38" s="17"/>
      <c r="P38" s="17"/>
    </row>
    <row r="39" spans="1:24" ht="15.75" thickBot="1">
      <c r="N39" s="17"/>
    </row>
    <row r="40" spans="1:24">
      <c r="A40" s="237"/>
      <c r="B40" s="239" t="s">
        <v>1</v>
      </c>
      <c r="C40" s="239"/>
      <c r="D40" s="239"/>
      <c r="E40" s="239"/>
      <c r="F40" s="239"/>
      <c r="G40" s="239"/>
      <c r="H40" s="239"/>
      <c r="I40" s="239"/>
      <c r="J40" s="239"/>
      <c r="K40" s="239"/>
      <c r="L40" s="239"/>
      <c r="M40" s="239"/>
      <c r="N40" s="239"/>
      <c r="O40" s="239"/>
      <c r="P40" s="239"/>
      <c r="Q40" s="239"/>
      <c r="R40" s="239"/>
      <c r="S40" s="240"/>
    </row>
    <row r="41" spans="1:24" ht="15.75" thickBot="1">
      <c r="A41" s="238"/>
      <c r="B41" s="3" t="s">
        <v>2</v>
      </c>
      <c r="C41" s="3" t="s">
        <v>3</v>
      </c>
      <c r="D41" s="3" t="s">
        <v>4</v>
      </c>
      <c r="E41" s="3" t="s">
        <v>138</v>
      </c>
      <c r="F41" s="3" t="s">
        <v>5</v>
      </c>
      <c r="G41" s="3" t="s">
        <v>6</v>
      </c>
      <c r="H41" s="3" t="s">
        <v>7</v>
      </c>
      <c r="I41" s="3" t="s">
        <v>8</v>
      </c>
      <c r="J41" s="3" t="s">
        <v>9</v>
      </c>
      <c r="K41" s="3" t="s">
        <v>10</v>
      </c>
      <c r="L41" s="3" t="s">
        <v>11</v>
      </c>
      <c r="M41" s="3" t="s">
        <v>12</v>
      </c>
      <c r="N41" s="3" t="s">
        <v>13</v>
      </c>
      <c r="O41" s="3" t="s">
        <v>14</v>
      </c>
      <c r="P41" s="3" t="s">
        <v>142</v>
      </c>
      <c r="Q41" s="3" t="s">
        <v>15</v>
      </c>
      <c r="R41" s="3" t="s">
        <v>16</v>
      </c>
      <c r="S41" s="3" t="s">
        <v>17</v>
      </c>
      <c r="T41" s="4" t="s">
        <v>18</v>
      </c>
    </row>
    <row r="42" spans="1:24">
      <c r="A42" s="5" t="s">
        <v>19</v>
      </c>
      <c r="B42" s="6" t="s">
        <v>20</v>
      </c>
      <c r="C42" s="7" t="s">
        <v>20</v>
      </c>
      <c r="D42" s="7" t="s">
        <v>20</v>
      </c>
      <c r="E42" s="7" t="s">
        <v>20</v>
      </c>
      <c r="F42" s="7" t="s">
        <v>21</v>
      </c>
      <c r="G42" s="7" t="s">
        <v>21</v>
      </c>
      <c r="H42" s="7" t="s">
        <v>21</v>
      </c>
      <c r="I42" s="7" t="s">
        <v>21</v>
      </c>
      <c r="J42" s="7" t="s">
        <v>21</v>
      </c>
      <c r="K42" s="7" t="s">
        <v>21</v>
      </c>
      <c r="L42" s="7" t="s">
        <v>21</v>
      </c>
      <c r="M42" s="7" t="s">
        <v>22</v>
      </c>
      <c r="N42" s="7" t="s">
        <v>21</v>
      </c>
      <c r="O42" s="7" t="s">
        <v>21</v>
      </c>
      <c r="P42" s="7" t="s">
        <v>21</v>
      </c>
      <c r="Q42" s="7" t="s">
        <v>21</v>
      </c>
      <c r="R42" s="7" t="s">
        <v>21</v>
      </c>
      <c r="S42" s="7" t="s">
        <v>21</v>
      </c>
      <c r="T42" s="8" t="s">
        <v>21</v>
      </c>
    </row>
    <row r="43" spans="1:24">
      <c r="A43" s="9" t="s">
        <v>23</v>
      </c>
      <c r="B43" s="109">
        <v>0</v>
      </c>
      <c r="C43" s="110">
        <v>0</v>
      </c>
      <c r="D43" s="110">
        <v>0</v>
      </c>
      <c r="E43" s="111"/>
      <c r="F43" s="110">
        <v>50523.236653</v>
      </c>
      <c r="G43" s="110">
        <v>2630.618903</v>
      </c>
      <c r="H43" s="110">
        <v>24732.385664000001</v>
      </c>
      <c r="I43" s="110">
        <v>48004.344752999998</v>
      </c>
      <c r="J43" s="110">
        <v>24909.162499999999</v>
      </c>
      <c r="K43" s="110">
        <v>0</v>
      </c>
      <c r="L43" s="110">
        <v>0</v>
      </c>
      <c r="M43" s="110">
        <v>0</v>
      </c>
      <c r="N43" s="166" t="s">
        <v>164</v>
      </c>
      <c r="O43" s="166" t="s">
        <v>164</v>
      </c>
      <c r="P43" s="166" t="s">
        <v>164</v>
      </c>
      <c r="Q43" s="110">
        <v>0</v>
      </c>
      <c r="R43" s="110">
        <v>0</v>
      </c>
      <c r="S43" s="110">
        <v>0</v>
      </c>
      <c r="T43" s="112">
        <v>0</v>
      </c>
    </row>
    <row r="44" spans="1:24">
      <c r="A44" s="9" t="s">
        <v>24</v>
      </c>
      <c r="B44" s="109">
        <v>0</v>
      </c>
      <c r="C44" s="110">
        <v>0</v>
      </c>
      <c r="D44" s="110">
        <v>0</v>
      </c>
      <c r="E44" s="111"/>
      <c r="F44" s="110">
        <v>35601.394820000001</v>
      </c>
      <c r="G44" s="110">
        <v>7397.5502619999997</v>
      </c>
      <c r="H44" s="110">
        <v>17934.557699000001</v>
      </c>
      <c r="I44" s="110">
        <v>38216.355189000002</v>
      </c>
      <c r="J44" s="110">
        <v>20708.820100000001</v>
      </c>
      <c r="K44" s="110">
        <v>0</v>
      </c>
      <c r="L44" s="110">
        <v>0</v>
      </c>
      <c r="M44" s="110">
        <v>0</v>
      </c>
      <c r="N44" s="166" t="s">
        <v>164</v>
      </c>
      <c r="O44" s="166" t="s">
        <v>164</v>
      </c>
      <c r="P44" s="166" t="s">
        <v>164</v>
      </c>
      <c r="Q44" s="110">
        <v>1392.655524</v>
      </c>
      <c r="R44" s="110">
        <v>10593.327284000001</v>
      </c>
      <c r="S44" s="110">
        <v>0</v>
      </c>
      <c r="T44" s="112">
        <v>0</v>
      </c>
    </row>
    <row r="45" spans="1:24" ht="15.75" thickBot="1">
      <c r="A45" s="12" t="s">
        <v>25</v>
      </c>
      <c r="B45" s="113">
        <v>0</v>
      </c>
      <c r="C45" s="114">
        <v>0</v>
      </c>
      <c r="D45" s="114">
        <v>0</v>
      </c>
      <c r="E45" s="115"/>
      <c r="F45" s="114">
        <v>47874.795900999998</v>
      </c>
      <c r="G45" s="114">
        <v>7675.4575759999998</v>
      </c>
      <c r="H45" s="114">
        <v>4749.062535</v>
      </c>
      <c r="I45" s="114">
        <v>21057.922891999999</v>
      </c>
      <c r="J45" s="114">
        <v>23920.230599999999</v>
      </c>
      <c r="K45" s="114">
        <v>0</v>
      </c>
      <c r="L45" s="114">
        <v>0</v>
      </c>
      <c r="M45" s="114">
        <v>0</v>
      </c>
      <c r="N45" s="167" t="s">
        <v>164</v>
      </c>
      <c r="O45" s="167" t="s">
        <v>164</v>
      </c>
      <c r="P45" s="167" t="s">
        <v>164</v>
      </c>
      <c r="Q45" s="114">
        <v>5507.9448410000005</v>
      </c>
      <c r="R45" s="114">
        <v>11475.779667000001</v>
      </c>
      <c r="S45" s="114">
        <v>4638.3409240000001</v>
      </c>
      <c r="T45" s="167" t="s">
        <v>164</v>
      </c>
    </row>
    <row r="46" spans="1:24">
      <c r="A46" s="16"/>
      <c r="B46" s="16"/>
      <c r="C46" s="16"/>
      <c r="D46" s="16"/>
      <c r="E46" s="1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</row>
    <row r="47" spans="1:24">
      <c r="A47" s="10" t="s">
        <v>133</v>
      </c>
      <c r="B47" s="10"/>
      <c r="C47" s="10"/>
      <c r="D47" s="10"/>
      <c r="E47" s="11"/>
      <c r="F47" s="128">
        <f>F45/F35</f>
        <v>1.0926418142204802E-2</v>
      </c>
      <c r="G47" s="128">
        <f>G45/G35</f>
        <v>1.0529080582789306E-2</v>
      </c>
      <c r="H47" s="128">
        <f>H45/H35</f>
        <v>1.5208115419397731E-2</v>
      </c>
      <c r="I47" s="128">
        <f>I45/I35</f>
        <v>1.3936525566053468E-2</v>
      </c>
      <c r="J47" s="128">
        <f>J45/J35</f>
        <v>1.2952946330969823E-2</v>
      </c>
      <c r="K47" s="11"/>
      <c r="L47" s="11"/>
      <c r="M47" s="11"/>
      <c r="N47" s="11"/>
      <c r="O47" s="11"/>
      <c r="P47" s="10"/>
      <c r="Q47" s="128">
        <f>Q45/Q35</f>
        <v>1.1198371627010793E-2</v>
      </c>
      <c r="R47" s="128">
        <f>R45/R35</f>
        <v>1.1523318194345317E-2</v>
      </c>
      <c r="S47" s="128">
        <f>S45/S35</f>
        <v>1.1082036989588812E-2</v>
      </c>
      <c r="T47" s="59"/>
    </row>
    <row r="48" spans="1:24">
      <c r="A48" s="134" t="s">
        <v>143</v>
      </c>
      <c r="B48" s="16"/>
      <c r="C48" s="16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6"/>
      <c r="Q48" s="16"/>
      <c r="R48" s="16"/>
      <c r="S48" s="16"/>
    </row>
    <row r="49" spans="1:20">
      <c r="A49" s="16"/>
      <c r="B49" s="16"/>
      <c r="C49" s="16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6"/>
      <c r="Q49" s="16"/>
      <c r="R49" s="16"/>
      <c r="S49" s="16"/>
    </row>
    <row r="50" spans="1:20">
      <c r="A50" s="16"/>
      <c r="B50" s="16"/>
      <c r="C50" s="16"/>
      <c r="D50" s="17"/>
      <c r="E50" s="17"/>
      <c r="F50" s="17"/>
      <c r="G50" s="15"/>
      <c r="H50" s="15"/>
      <c r="I50" s="15"/>
      <c r="J50" s="19"/>
      <c r="K50" s="15"/>
      <c r="N50" s="18"/>
      <c r="O50" s="19"/>
    </row>
    <row r="51" spans="1:20" ht="15.75">
      <c r="A51" s="24" t="s">
        <v>124</v>
      </c>
      <c r="B51" s="16"/>
      <c r="C51" s="16"/>
      <c r="D51" s="17"/>
      <c r="E51" s="17"/>
      <c r="F51" s="17"/>
      <c r="G51" s="15"/>
      <c r="H51" s="15"/>
      <c r="I51" s="15"/>
      <c r="J51" s="19"/>
      <c r="K51" s="15"/>
      <c r="N51" s="18"/>
      <c r="O51" s="19"/>
    </row>
    <row r="52" spans="1:20" ht="15.75" thickBot="1">
      <c r="A52" s="16"/>
      <c r="B52" s="16"/>
      <c r="C52" s="16"/>
      <c r="D52" s="17"/>
      <c r="E52" s="17"/>
      <c r="F52" s="17"/>
      <c r="G52" s="15"/>
      <c r="H52" s="15"/>
      <c r="I52" s="15"/>
      <c r="J52" s="19"/>
      <c r="K52" s="15"/>
      <c r="N52" s="18"/>
      <c r="O52" s="19"/>
    </row>
    <row r="53" spans="1:20" ht="15.75" thickBot="1">
      <c r="A53" s="241" t="s">
        <v>31</v>
      </c>
      <c r="B53" s="245" t="s">
        <v>27</v>
      </c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7"/>
    </row>
    <row r="54" spans="1:20">
      <c r="A54" s="244"/>
      <c r="B54" s="25" t="s">
        <v>2</v>
      </c>
      <c r="C54" s="25" t="s">
        <v>3</v>
      </c>
      <c r="D54" s="26" t="s">
        <v>4</v>
      </c>
      <c r="E54" s="26" t="s">
        <v>138</v>
      </c>
      <c r="F54" s="26" t="s">
        <v>5</v>
      </c>
      <c r="G54" s="26" t="s">
        <v>6</v>
      </c>
      <c r="H54" s="26" t="s">
        <v>7</v>
      </c>
      <c r="I54" s="26" t="s">
        <v>8</v>
      </c>
      <c r="J54" s="26" t="s">
        <v>9</v>
      </c>
      <c r="K54" s="26" t="s">
        <v>10</v>
      </c>
      <c r="L54" s="26" t="s">
        <v>11</v>
      </c>
      <c r="M54" s="26" t="s">
        <v>12</v>
      </c>
      <c r="N54" s="26" t="s">
        <v>13</v>
      </c>
      <c r="O54" s="26" t="s">
        <v>14</v>
      </c>
      <c r="P54" s="26" t="s">
        <v>142</v>
      </c>
      <c r="Q54" s="26" t="s">
        <v>15</v>
      </c>
      <c r="R54" s="26" t="s">
        <v>16</v>
      </c>
      <c r="S54" s="26" t="s">
        <v>17</v>
      </c>
      <c r="T54" s="27" t="s">
        <v>18</v>
      </c>
    </row>
    <row r="55" spans="1:20">
      <c r="A55" s="10" t="s">
        <v>122</v>
      </c>
      <c r="B55" s="102">
        <f>SUM(B31:B35)</f>
        <v>13356189.530000001</v>
      </c>
      <c r="C55" s="102">
        <f>SUM(C31:C35)</f>
        <v>12667602</v>
      </c>
      <c r="D55" s="102">
        <f>SUM(D31:D35)</f>
        <v>10266410</v>
      </c>
      <c r="E55" s="119"/>
      <c r="F55" s="102">
        <f t="shared" ref="F55:T55" si="0">SUM(F31:F35)</f>
        <v>29497583.550000001</v>
      </c>
      <c r="G55" s="102">
        <f t="shared" si="0"/>
        <v>3308831</v>
      </c>
      <c r="H55" s="102">
        <f t="shared" si="0"/>
        <v>6537231.6999999993</v>
      </c>
      <c r="I55" s="102">
        <f t="shared" si="0"/>
        <v>15128757.799999999</v>
      </c>
      <c r="J55" s="102">
        <f t="shared" si="0"/>
        <v>9460329.8100000005</v>
      </c>
      <c r="K55" s="102">
        <f t="shared" si="0"/>
        <v>1137.5</v>
      </c>
      <c r="L55" s="102">
        <f t="shared" si="0"/>
        <v>1408.6</v>
      </c>
      <c r="M55" s="102">
        <f t="shared" si="0"/>
        <v>1060.4000000000001</v>
      </c>
      <c r="N55" s="102">
        <f t="shared" si="0"/>
        <v>10613919</v>
      </c>
      <c r="O55" s="102">
        <f t="shared" si="0"/>
        <v>1039910</v>
      </c>
      <c r="P55" s="102">
        <f t="shared" si="0"/>
        <v>739129.79</v>
      </c>
      <c r="Q55" s="102">
        <f t="shared" si="0"/>
        <v>638653.21</v>
      </c>
      <c r="R55" s="102">
        <f t="shared" si="0"/>
        <v>2189427.46</v>
      </c>
      <c r="S55" s="102">
        <f t="shared" si="0"/>
        <v>418545.88</v>
      </c>
      <c r="T55" s="102">
        <f t="shared" si="0"/>
        <v>142388.78</v>
      </c>
    </row>
    <row r="56" spans="1:20">
      <c r="A56" s="117" t="s">
        <v>123</v>
      </c>
      <c r="B56" s="118">
        <f>SUM(B55:T55)</f>
        <v>116008516.00999999</v>
      </c>
      <c r="C56" s="30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</row>
    <row r="57" spans="1:20">
      <c r="A57" s="32" t="s">
        <v>114</v>
      </c>
      <c r="B57" s="116">
        <f>SUM(B55:E55)</f>
        <v>36290201.530000001</v>
      </c>
      <c r="C57" s="30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</row>
    <row r="58" spans="1:20">
      <c r="A58" s="32" t="s">
        <v>115</v>
      </c>
      <c r="B58" s="116">
        <f>B56-B57</f>
        <v>79718314.479999989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</row>
    <row r="59" spans="1:20">
      <c r="A59" s="32" t="s">
        <v>36</v>
      </c>
      <c r="B59" s="33">
        <f>B57/B56</f>
        <v>0.31282359931982723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</row>
    <row r="60" spans="1:20" ht="15.75" thickBot="1">
      <c r="A60" s="34" t="s">
        <v>113</v>
      </c>
      <c r="B60" s="35">
        <f>B58/B56</f>
        <v>0.68717640068017272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</row>
    <row r="61" spans="1:20">
      <c r="A61" s="134" t="s">
        <v>143</v>
      </c>
      <c r="B61" s="14"/>
      <c r="C61" s="14"/>
      <c r="D61" s="14"/>
    </row>
    <row r="63" spans="1:20" ht="15.75">
      <c r="A63" s="2" t="s">
        <v>56</v>
      </c>
      <c r="B63" s="14"/>
      <c r="C63" s="14"/>
      <c r="D63" s="14"/>
      <c r="G63" s="14"/>
    </row>
    <row r="64" spans="1:20" ht="15.75" thickBot="1">
      <c r="A64" s="14"/>
      <c r="B64" s="14"/>
      <c r="C64" s="14"/>
      <c r="D64" s="14"/>
      <c r="G64" s="14"/>
    </row>
    <row r="65" spans="1:22">
      <c r="A65" s="38" t="s">
        <v>31</v>
      </c>
      <c r="B65" s="26" t="s">
        <v>2</v>
      </c>
      <c r="C65" s="26" t="s">
        <v>3</v>
      </c>
      <c r="D65" s="26" t="s">
        <v>4</v>
      </c>
      <c r="E65" s="26" t="s">
        <v>139</v>
      </c>
      <c r="F65" s="26" t="s">
        <v>5</v>
      </c>
      <c r="G65" s="26" t="s">
        <v>6</v>
      </c>
      <c r="H65" s="26" t="s">
        <v>7</v>
      </c>
      <c r="I65" s="26" t="s">
        <v>8</v>
      </c>
      <c r="J65" s="26" t="s">
        <v>9</v>
      </c>
      <c r="K65" s="26" t="s">
        <v>10</v>
      </c>
      <c r="L65" s="26" t="s">
        <v>11</v>
      </c>
      <c r="M65" s="26" t="s">
        <v>12</v>
      </c>
      <c r="N65" s="26" t="s">
        <v>13</v>
      </c>
      <c r="O65" s="26" t="s">
        <v>14</v>
      </c>
      <c r="P65" s="26" t="s">
        <v>142</v>
      </c>
      <c r="Q65" s="26" t="s">
        <v>15</v>
      </c>
      <c r="R65" s="26" t="s">
        <v>16</v>
      </c>
      <c r="S65" s="26" t="s">
        <v>17</v>
      </c>
      <c r="T65" s="27" t="s">
        <v>18</v>
      </c>
    </row>
    <row r="66" spans="1:22">
      <c r="A66" s="39" t="s">
        <v>57</v>
      </c>
      <c r="B66" s="42">
        <f t="shared" ref="B66:D68" si="1">(B43*$B$22*$C$8*$C$12*$C$11)</f>
        <v>0</v>
      </c>
      <c r="C66" s="42">
        <f t="shared" si="1"/>
        <v>0</v>
      </c>
      <c r="D66" s="42">
        <f t="shared" si="1"/>
        <v>0</v>
      </c>
      <c r="E66" s="133"/>
      <c r="F66" s="129">
        <f t="shared" ref="F66:L68" si="2">(F43*$B$22*$C$8*$C$12*$C$11)</f>
        <v>3080148.7183642518</v>
      </c>
      <c r="G66" s="129">
        <f t="shared" si="2"/>
        <v>160375.66037644376</v>
      </c>
      <c r="H66" s="129">
        <f t="shared" si="2"/>
        <v>1507809.6941466748</v>
      </c>
      <c r="I66" s="129">
        <f t="shared" si="2"/>
        <v>2926584.4938318869</v>
      </c>
      <c r="J66" s="129">
        <f t="shared" si="2"/>
        <v>1518586.8925391999</v>
      </c>
      <c r="K66" s="129">
        <f t="shared" si="2"/>
        <v>0</v>
      </c>
      <c r="L66" s="129">
        <f t="shared" si="2"/>
        <v>0</v>
      </c>
      <c r="M66" s="129">
        <f>(M43*$C$7*$C$9)/1000</f>
        <v>0</v>
      </c>
      <c r="N66" s="156">
        <f t="shared" ref="N66:P68" si="3">($C$10*3.6/$C$14)*N33</f>
        <v>1670608.0070886079</v>
      </c>
      <c r="O66" s="156">
        <f t="shared" si="3"/>
        <v>182250.749164557</v>
      </c>
      <c r="P66" s="156">
        <f t="shared" si="3"/>
        <v>6279.6777721518993</v>
      </c>
      <c r="Q66" s="129">
        <f t="shared" ref="Q66:T67" si="4">(Q43*$B$22*$C$8*$C$12*$C$11)</f>
        <v>0</v>
      </c>
      <c r="R66" s="129">
        <f t="shared" si="4"/>
        <v>0</v>
      </c>
      <c r="S66" s="129">
        <f t="shared" si="4"/>
        <v>0</v>
      </c>
      <c r="T66" s="157">
        <f t="shared" si="4"/>
        <v>0</v>
      </c>
      <c r="U66" s="44"/>
    </row>
    <row r="67" spans="1:22">
      <c r="A67" s="39" t="s">
        <v>58</v>
      </c>
      <c r="B67" s="42">
        <f t="shared" si="1"/>
        <v>0</v>
      </c>
      <c r="C67" s="42">
        <f t="shared" si="1"/>
        <v>0</v>
      </c>
      <c r="D67" s="42">
        <f t="shared" si="1"/>
        <v>0</v>
      </c>
      <c r="E67" s="133"/>
      <c r="F67" s="129">
        <f t="shared" si="2"/>
        <v>2170438.7503901413</v>
      </c>
      <c r="G67" s="129">
        <f t="shared" si="2"/>
        <v>450991.59254242788</v>
      </c>
      <c r="H67" s="129">
        <f t="shared" si="2"/>
        <v>1093380.1666430733</v>
      </c>
      <c r="I67" s="129">
        <f t="shared" si="2"/>
        <v>2329859.7883665436</v>
      </c>
      <c r="J67" s="129">
        <f t="shared" si="2"/>
        <v>1262513.0517259394</v>
      </c>
      <c r="K67" s="129">
        <f t="shared" si="2"/>
        <v>0</v>
      </c>
      <c r="L67" s="129">
        <f t="shared" si="2"/>
        <v>0</v>
      </c>
      <c r="M67" s="129">
        <f>(M44*$C$7*$C$9)/1000</f>
        <v>0</v>
      </c>
      <c r="N67" s="156">
        <f t="shared" si="3"/>
        <v>1684298.849924051</v>
      </c>
      <c r="O67" s="156">
        <f t="shared" si="3"/>
        <v>292722.86916455702</v>
      </c>
      <c r="P67" s="156">
        <f t="shared" si="3"/>
        <v>219480.68445265829</v>
      </c>
      <c r="Q67" s="129">
        <f t="shared" si="4"/>
        <v>84903.232879415809</v>
      </c>
      <c r="R67" s="129">
        <f t="shared" si="4"/>
        <v>645822.11312244169</v>
      </c>
      <c r="S67" s="129">
        <f t="shared" si="4"/>
        <v>0</v>
      </c>
      <c r="T67" s="157">
        <f t="shared" si="4"/>
        <v>0</v>
      </c>
      <c r="U67" s="44"/>
      <c r="V67" s="44"/>
    </row>
    <row r="68" spans="1:22" ht="15.75" thickBot="1">
      <c r="A68" s="40" t="s">
        <v>59</v>
      </c>
      <c r="B68" s="158">
        <f t="shared" si="1"/>
        <v>0</v>
      </c>
      <c r="C68" s="158">
        <f t="shared" si="1"/>
        <v>0</v>
      </c>
      <c r="D68" s="158">
        <f t="shared" si="1"/>
        <v>0</v>
      </c>
      <c r="E68" s="159"/>
      <c r="F68" s="160">
        <f t="shared" si="2"/>
        <v>2918686.5491060978</v>
      </c>
      <c r="G68" s="160">
        <f t="shared" si="2"/>
        <v>467934.20971717936</v>
      </c>
      <c r="H68" s="160">
        <f t="shared" si="2"/>
        <v>289526.55945377471</v>
      </c>
      <c r="I68" s="160">
        <f t="shared" si="2"/>
        <v>1283796.1006473969</v>
      </c>
      <c r="J68" s="160">
        <f t="shared" si="2"/>
        <v>1458296.6671671551</v>
      </c>
      <c r="K68" s="160">
        <f t="shared" si="2"/>
        <v>0</v>
      </c>
      <c r="L68" s="160">
        <f t="shared" si="2"/>
        <v>0</v>
      </c>
      <c r="M68" s="160">
        <f>(M45*$C$7*$C$9)/1000</f>
        <v>0</v>
      </c>
      <c r="N68" s="161">
        <f t="shared" si="3"/>
        <v>1384919.4814177216</v>
      </c>
      <c r="O68" s="161">
        <f t="shared" si="3"/>
        <v>15514.618329113926</v>
      </c>
      <c r="P68" s="161">
        <f t="shared" si="3"/>
        <v>152150.1501508861</v>
      </c>
      <c r="Q68" s="160">
        <f>(Q45*$B$22*$C$8*$C$12*$C$11)</f>
        <v>335791.81316800631</v>
      </c>
      <c r="R68" s="160">
        <f>(R45*$B$22*$C$8*$C$12*$C$11)</f>
        <v>699620.81559241773</v>
      </c>
      <c r="S68" s="160">
        <f>(S45*$B$22*$C$8*$C$12*$C$11)</f>
        <v>282776.41732493264</v>
      </c>
      <c r="T68" s="162">
        <f>($C$10*3.6/$C$14)*T35</f>
        <v>72802.121541265835</v>
      </c>
      <c r="U68" s="44"/>
    </row>
    <row r="69" spans="1:22">
      <c r="A69" s="45" t="s">
        <v>60</v>
      </c>
      <c r="B69" s="120">
        <f>SUM(F66:T66)</f>
        <v>11052643.893283773</v>
      </c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4"/>
      <c r="U69" s="44"/>
    </row>
    <row r="70" spans="1:22">
      <c r="A70" s="45" t="s">
        <v>61</v>
      </c>
      <c r="B70" s="120">
        <f>SUM(F67:T67)</f>
        <v>10234411.099211246</v>
      </c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4"/>
      <c r="U70" s="44"/>
    </row>
    <row r="71" spans="1:22">
      <c r="A71" s="45" t="s">
        <v>62</v>
      </c>
      <c r="B71" s="120">
        <f>SUM(F68:T68)</f>
        <v>9361815.5036159474</v>
      </c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4"/>
      <c r="U71" s="44"/>
    </row>
    <row r="72" spans="1:22">
      <c r="A72" s="45" t="s">
        <v>106</v>
      </c>
      <c r="B72" s="120">
        <f>SUM(F33:T33)</f>
        <v>16328376.789999999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4"/>
      <c r="U72" s="44"/>
    </row>
    <row r="73" spans="1:22">
      <c r="A73" s="45" t="s">
        <v>107</v>
      </c>
      <c r="B73" s="120">
        <f>SUM(F34:T34)</f>
        <v>15410133.219999999</v>
      </c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4"/>
      <c r="U73" s="44"/>
    </row>
    <row r="74" spans="1:22">
      <c r="A74" s="45" t="s">
        <v>108</v>
      </c>
      <c r="B74" s="120">
        <f>SUM(F35:T35)</f>
        <v>13865758.890000001</v>
      </c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4"/>
      <c r="U74" s="44"/>
    </row>
    <row r="75" spans="1:22">
      <c r="A75" s="45" t="s">
        <v>66</v>
      </c>
      <c r="B75" s="69">
        <f>B69/B72</f>
        <v>0.67689789594105598</v>
      </c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4"/>
      <c r="U75" s="44"/>
    </row>
    <row r="76" spans="1:22">
      <c r="A76" s="45" t="s">
        <v>67</v>
      </c>
      <c r="B76" s="69">
        <f>B70/B73</f>
        <v>0.66413514750985692</v>
      </c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4"/>
      <c r="U76" s="44"/>
    </row>
    <row r="77" spans="1:22">
      <c r="A77" s="45" t="s">
        <v>68</v>
      </c>
      <c r="B77" s="69">
        <f>B71/B74</f>
        <v>0.67517512585392625</v>
      </c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4"/>
      <c r="U77" s="44"/>
    </row>
    <row r="78" spans="1:22" ht="15.75" thickBot="1">
      <c r="A78" s="46" t="s">
        <v>69</v>
      </c>
      <c r="B78" s="70">
        <f>AVERAGE(B75:B77)</f>
        <v>0.67206938976827979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</row>
    <row r="79" spans="1:22">
      <c r="A79" s="134" t="s">
        <v>143</v>
      </c>
      <c r="B79" s="44"/>
    </row>
    <row r="80" spans="1:22">
      <c r="B80" s="44"/>
    </row>
    <row r="81" spans="1:20">
      <c r="B81" s="44"/>
    </row>
    <row r="82" spans="1:20" ht="20.25">
      <c r="A82" s="47" t="s">
        <v>70</v>
      </c>
      <c r="B82" s="44"/>
    </row>
    <row r="83" spans="1:20" ht="15.75" thickBot="1">
      <c r="B83" s="44"/>
      <c r="P83" s="31" t="s">
        <v>71</v>
      </c>
      <c r="Q83" s="31" t="s">
        <v>72</v>
      </c>
      <c r="R83" s="31" t="s">
        <v>73</v>
      </c>
      <c r="S83" s="31" t="s">
        <v>74</v>
      </c>
      <c r="T83">
        <v>2008</v>
      </c>
    </row>
    <row r="84" spans="1:20" s="31" customFormat="1" ht="13.5" thickBot="1">
      <c r="A84" s="20" t="s">
        <v>31</v>
      </c>
      <c r="B84" s="21" t="s">
        <v>2</v>
      </c>
      <c r="C84" s="22" t="s">
        <v>3</v>
      </c>
      <c r="D84" s="22" t="s">
        <v>4</v>
      </c>
      <c r="E84" s="22" t="s">
        <v>139</v>
      </c>
      <c r="F84" s="22" t="s">
        <v>5</v>
      </c>
      <c r="G84" s="22" t="s">
        <v>6</v>
      </c>
      <c r="H84" s="22" t="s">
        <v>7</v>
      </c>
      <c r="I84" s="22" t="s">
        <v>8</v>
      </c>
      <c r="J84" s="22" t="s">
        <v>9</v>
      </c>
      <c r="K84" s="22" t="s">
        <v>10</v>
      </c>
      <c r="L84" s="22" t="s">
        <v>11</v>
      </c>
      <c r="M84" s="22" t="s">
        <v>12</v>
      </c>
      <c r="N84" s="22" t="s">
        <v>13</v>
      </c>
      <c r="O84" s="22" t="s">
        <v>14</v>
      </c>
      <c r="P84" s="22" t="s">
        <v>142</v>
      </c>
      <c r="Q84" s="22" t="s">
        <v>15</v>
      </c>
      <c r="R84" s="22" t="s">
        <v>16</v>
      </c>
      <c r="S84" s="22" t="s">
        <v>17</v>
      </c>
      <c r="T84" s="23" t="s">
        <v>18</v>
      </c>
    </row>
    <row r="85" spans="1:20" s="31" customFormat="1" ht="12.75">
      <c r="A85" s="5" t="s">
        <v>109</v>
      </c>
      <c r="B85" s="6">
        <v>760</v>
      </c>
      <c r="C85" s="7">
        <v>578.4</v>
      </c>
      <c r="D85" s="7">
        <v>600</v>
      </c>
      <c r="E85" s="121"/>
      <c r="F85" s="7">
        <v>1320</v>
      </c>
      <c r="G85" s="7">
        <v>1020</v>
      </c>
      <c r="H85" s="7">
        <v>931.6</v>
      </c>
      <c r="I85" s="7">
        <v>882</v>
      </c>
      <c r="J85" s="7">
        <v>302</v>
      </c>
      <c r="K85" s="7"/>
      <c r="L85" s="7"/>
      <c r="M85" s="7"/>
      <c r="N85" s="7">
        <v>450</v>
      </c>
      <c r="O85" s="7">
        <v>110</v>
      </c>
      <c r="P85" s="145"/>
      <c r="Q85" s="7">
        <v>335</v>
      </c>
      <c r="R85" s="7">
        <v>414</v>
      </c>
      <c r="S85" s="7">
        <v>335</v>
      </c>
      <c r="T85" s="8">
        <v>331.5</v>
      </c>
    </row>
    <row r="86" spans="1:20" s="31" customFormat="1" ht="12.75">
      <c r="A86" s="9" t="s">
        <v>110</v>
      </c>
      <c r="B86" s="109">
        <f>B35</f>
        <v>2707020</v>
      </c>
      <c r="C86" s="110">
        <f>C35</f>
        <v>2794976</v>
      </c>
      <c r="D86" s="110">
        <f>D35</f>
        <v>1941344</v>
      </c>
      <c r="E86" s="111"/>
      <c r="F86" s="110">
        <f t="shared" ref="F86:T86" si="5">F35</f>
        <v>4381563.59</v>
      </c>
      <c r="G86" s="110">
        <f t="shared" si="5"/>
        <v>728977</v>
      </c>
      <c r="H86" s="110">
        <f t="shared" si="5"/>
        <v>312271.59999999998</v>
      </c>
      <c r="I86" s="110">
        <f t="shared" si="5"/>
        <v>1510988</v>
      </c>
      <c r="J86" s="110">
        <f t="shared" si="5"/>
        <v>1846701.9</v>
      </c>
      <c r="K86" s="110">
        <f t="shared" si="5"/>
        <v>0</v>
      </c>
      <c r="L86" s="110">
        <f t="shared" si="5"/>
        <v>0</v>
      </c>
      <c r="M86" s="110">
        <f t="shared" si="5"/>
        <v>0</v>
      </c>
      <c r="N86" s="110">
        <f t="shared" si="5"/>
        <v>2708671</v>
      </c>
      <c r="O86" s="110">
        <f t="shared" si="5"/>
        <v>30344</v>
      </c>
      <c r="P86" s="110">
        <f t="shared" si="5"/>
        <v>297580.26</v>
      </c>
      <c r="Q86" s="110">
        <f t="shared" si="5"/>
        <v>491852.3</v>
      </c>
      <c r="R86" s="110">
        <f t="shared" si="5"/>
        <v>995874.58</v>
      </c>
      <c r="S86" s="110">
        <f t="shared" si="5"/>
        <v>418545.88</v>
      </c>
      <c r="T86" s="112">
        <f t="shared" si="5"/>
        <v>142388.78</v>
      </c>
    </row>
    <row r="87" spans="1:20" s="31" customFormat="1" ht="12.75">
      <c r="A87" s="9" t="s">
        <v>75</v>
      </c>
      <c r="B87" s="109">
        <f>SUM(B86:T86)</f>
        <v>21309098.890000001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48"/>
    </row>
    <row r="88" spans="1:20" s="31" customFormat="1" ht="12.75">
      <c r="A88" s="49" t="s">
        <v>131</v>
      </c>
      <c r="B88" s="109">
        <f>SUM(P86:T86)</f>
        <v>2346241.7999999998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48"/>
    </row>
    <row r="89" spans="1:20" s="31" customFormat="1" ht="12.75">
      <c r="A89" s="49" t="s">
        <v>145</v>
      </c>
      <c r="B89" s="147">
        <f>B88/B87</f>
        <v>0.11010516268714916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48"/>
    </row>
    <row r="90" spans="1:20" s="31" customFormat="1" ht="12.75">
      <c r="A90" s="49" t="s">
        <v>146</v>
      </c>
      <c r="B90" s="146">
        <f>SUM(O86:T86)</f>
        <v>2376585.7999999998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48"/>
    </row>
    <row r="91" spans="1:20" s="31" customFormat="1" ht="12.75">
      <c r="A91" s="49" t="s">
        <v>144</v>
      </c>
      <c r="B91" s="147">
        <f>B90/B87</f>
        <v>0.11152915532788162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48"/>
    </row>
    <row r="92" spans="1:20" s="31" customFormat="1" ht="12.75">
      <c r="A92" s="49" t="s">
        <v>147</v>
      </c>
      <c r="B92" s="146">
        <f>SUM(N86:T86)</f>
        <v>5085256.8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48"/>
    </row>
    <row r="93" spans="1:20" s="31" customFormat="1" ht="12.75">
      <c r="A93" s="49" t="s">
        <v>148</v>
      </c>
      <c r="B93" s="147">
        <f>B92/B87</f>
        <v>0.23864250789067504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48"/>
    </row>
    <row r="94" spans="1:20">
      <c r="A94" s="134" t="s">
        <v>143</v>
      </c>
    </row>
    <row r="95" spans="1:20" ht="15.75" thickBot="1"/>
    <row r="96" spans="1:20" ht="15.75" thickBot="1">
      <c r="A96" s="28" t="s">
        <v>31</v>
      </c>
      <c r="B96" s="29" t="s">
        <v>32</v>
      </c>
      <c r="C96" s="234" t="s">
        <v>76</v>
      </c>
      <c r="D96" s="235"/>
      <c r="E96" s="235"/>
      <c r="F96" s="235"/>
      <c r="G96" s="235"/>
      <c r="H96" s="235"/>
      <c r="I96" s="236"/>
    </row>
    <row r="97" spans="1:9" ht="15.75" thickBot="1">
      <c r="A97" s="41"/>
      <c r="B97" s="45"/>
      <c r="C97" s="52" t="s">
        <v>14</v>
      </c>
      <c r="D97" s="53" t="s">
        <v>13</v>
      </c>
      <c r="E97" s="54" t="s">
        <v>142</v>
      </c>
      <c r="F97" s="54" t="s">
        <v>15</v>
      </c>
      <c r="G97" s="54" t="s">
        <v>16</v>
      </c>
      <c r="H97" s="54" t="s">
        <v>17</v>
      </c>
      <c r="I97" s="55" t="s">
        <v>18</v>
      </c>
    </row>
    <row r="98" spans="1:9">
      <c r="A98" s="32" t="s">
        <v>77</v>
      </c>
      <c r="B98" s="9" t="s">
        <v>35</v>
      </c>
      <c r="C98" s="163"/>
      <c r="D98" s="164"/>
      <c r="E98" s="164"/>
      <c r="F98" s="122">
        <f>Q45</f>
        <v>5507.9448410000005</v>
      </c>
      <c r="G98" s="122">
        <f>R45</f>
        <v>11475.779667000001</v>
      </c>
      <c r="H98" s="122">
        <f>S45</f>
        <v>4638.3409240000001</v>
      </c>
      <c r="I98" s="123" t="str">
        <f>T45</f>
        <v>NA</v>
      </c>
    </row>
    <row r="99" spans="1:9">
      <c r="A99" s="32" t="s">
        <v>78</v>
      </c>
      <c r="B99" s="9" t="s">
        <v>79</v>
      </c>
      <c r="C99" s="124">
        <f>O35</f>
        <v>30344</v>
      </c>
      <c r="D99" s="125">
        <f>N35</f>
        <v>2708671</v>
      </c>
      <c r="E99" s="125">
        <f>P86</f>
        <v>297580.26</v>
      </c>
      <c r="F99" s="125">
        <f>Q35</f>
        <v>491852.3</v>
      </c>
      <c r="G99" s="125">
        <f>R35</f>
        <v>995874.58</v>
      </c>
      <c r="H99" s="125">
        <f>S35</f>
        <v>418545.88</v>
      </c>
      <c r="I99" s="126">
        <f>T35</f>
        <v>142388.78</v>
      </c>
    </row>
    <row r="100" spans="1:9">
      <c r="A100" s="32" t="s">
        <v>80</v>
      </c>
      <c r="B100" s="9" t="s">
        <v>81</v>
      </c>
      <c r="C100" s="165">
        <f>$C$10*3.6/$C$14</f>
        <v>0.5112911392405064</v>
      </c>
      <c r="D100" s="165">
        <f>$C$10*3.6/$C$14</f>
        <v>0.5112911392405064</v>
      </c>
      <c r="E100" s="165">
        <f>$C$10*3.6/$C$14</f>
        <v>0.5112911392405064</v>
      </c>
      <c r="F100" s="56">
        <f>(F98*$B$22*$C$12*$C$8*$C$11)/F99</f>
        <v>0.68270863665374004</v>
      </c>
      <c r="G100" s="56">
        <f>(G98*$B$22*$C$12*$C$8*$C$11)/G99</f>
        <v>0.70251900153171665</v>
      </c>
      <c r="H100" s="56">
        <f>(H98*$B$22*$C$12*$C$8*$C$11)/H99</f>
        <v>0.67561629641398602</v>
      </c>
      <c r="I100" s="165">
        <f>$C$10*3.6/$C$14</f>
        <v>0.5112911392405064</v>
      </c>
    </row>
    <row r="101" spans="1:9" ht="15.75" thickBot="1">
      <c r="A101" s="34" t="s">
        <v>82</v>
      </c>
      <c r="B101" s="12" t="s">
        <v>81</v>
      </c>
      <c r="C101" s="57">
        <f>(C99*C100+D99*D100+E99*E100+F99*F100+G99*G100+H99*H100+I99*I100)/SUM(C99:I99)</f>
        <v>0.57884498920965877</v>
      </c>
      <c r="D101" s="50"/>
      <c r="E101" s="50"/>
      <c r="F101" s="50"/>
      <c r="G101" s="50"/>
      <c r="H101" s="50"/>
      <c r="I101" s="51"/>
    </row>
    <row r="102" spans="1:9">
      <c r="A102" s="31"/>
    </row>
    <row r="103" spans="1:9" ht="18">
      <c r="A103" s="1" t="s">
        <v>83</v>
      </c>
    </row>
    <row r="104" spans="1:9" ht="15.75" thickBot="1"/>
    <row r="105" spans="1:9">
      <c r="A105" s="38" t="s">
        <v>84</v>
      </c>
      <c r="B105" s="26" t="s">
        <v>81</v>
      </c>
      <c r="C105" s="230">
        <f>B78</f>
        <v>0.67206938976827979</v>
      </c>
    </row>
    <row r="106" spans="1:9">
      <c r="A106" s="39" t="s">
        <v>85</v>
      </c>
      <c r="B106" s="10" t="s">
        <v>81</v>
      </c>
      <c r="C106" s="229">
        <f>C101</f>
        <v>0.57884498920965877</v>
      </c>
      <c r="G106" s="58"/>
      <c r="I106" s="58"/>
    </row>
    <row r="107" spans="1:9">
      <c r="A107" s="39" t="s">
        <v>86</v>
      </c>
      <c r="B107" s="59"/>
      <c r="C107" s="231">
        <v>0.5</v>
      </c>
      <c r="F107" s="14"/>
      <c r="G107" s="60"/>
    </row>
    <row r="108" spans="1:9">
      <c r="A108" s="39" t="s">
        <v>87</v>
      </c>
      <c r="B108" s="59"/>
      <c r="C108" s="231">
        <v>0.5</v>
      </c>
    </row>
    <row r="109" spans="1:9" ht="15.75" thickBot="1">
      <c r="A109" s="40" t="s">
        <v>88</v>
      </c>
      <c r="B109" s="3" t="s">
        <v>81</v>
      </c>
      <c r="C109" s="232">
        <f>C107*C105+C108*C106</f>
        <v>0.62545718948896933</v>
      </c>
    </row>
  </sheetData>
  <mergeCells count="7">
    <mergeCell ref="C96:I96"/>
    <mergeCell ref="A40:A41"/>
    <mergeCell ref="B40:S40"/>
    <mergeCell ref="A29:A30"/>
    <mergeCell ref="B29:S29"/>
    <mergeCell ref="A53:A54"/>
    <mergeCell ref="B53:S53"/>
  </mergeCells>
  <phoneticPr fontId="33" type="noConversion"/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O48"/>
  <sheetViews>
    <sheetView workbookViewId="0">
      <selection activeCell="F25" sqref="F25"/>
    </sheetView>
  </sheetViews>
  <sheetFormatPr defaultColWidth="11.42578125" defaultRowHeight="12.75"/>
  <cols>
    <col min="1" max="1" width="3.7109375" style="213" customWidth="1"/>
    <col min="2" max="2" width="37" style="213" customWidth="1"/>
    <col min="3" max="15" width="12.7109375" style="213" customWidth="1"/>
    <col min="16" max="16384" width="11.42578125" style="213"/>
  </cols>
  <sheetData>
    <row r="1" spans="2:11" ht="15">
      <c r="B1" s="233" t="s">
        <v>211</v>
      </c>
    </row>
    <row r="3" spans="2:11">
      <c r="B3" s="174"/>
      <c r="C3" s="212"/>
      <c r="D3" s="212"/>
    </row>
    <row r="4" spans="2:11" ht="13.5" thickBot="1">
      <c r="B4" s="174"/>
      <c r="C4" s="212"/>
      <c r="D4" s="212"/>
      <c r="F4" s="14" t="s">
        <v>167</v>
      </c>
      <c r="I4" s="214"/>
    </row>
    <row r="5" spans="2:11" ht="13.5" thickBot="1">
      <c r="B5" s="175" t="s">
        <v>168</v>
      </c>
      <c r="C5" s="215"/>
      <c r="D5" s="215"/>
      <c r="F5" s="176" t="s">
        <v>169</v>
      </c>
      <c r="G5" s="177" t="s">
        <v>170</v>
      </c>
      <c r="H5" s="216"/>
    </row>
    <row r="6" spans="2:11" ht="13.5" thickBot="1">
      <c r="B6" s="178" t="s">
        <v>203</v>
      </c>
      <c r="C6" s="179">
        <v>750000</v>
      </c>
      <c r="D6" s="217"/>
      <c r="F6" s="180" t="s">
        <v>171</v>
      </c>
      <c r="G6" s="181" t="s">
        <v>171</v>
      </c>
      <c r="H6" s="216"/>
    </row>
    <row r="7" spans="2:11" ht="13.5" thickBot="1">
      <c r="B7" s="178" t="s">
        <v>172</v>
      </c>
      <c r="C7" s="182">
        <v>0.1</v>
      </c>
      <c r="D7" s="217"/>
      <c r="F7" s="183" t="s">
        <v>173</v>
      </c>
      <c r="G7" s="184" t="s">
        <v>174</v>
      </c>
      <c r="H7" s="185" t="s">
        <v>175</v>
      </c>
    </row>
    <row r="8" spans="2:11">
      <c r="B8" s="178" t="s">
        <v>176</v>
      </c>
      <c r="C8" s="211">
        <f>'Emission Factor Calculation'!C109</f>
        <v>0.62545718948896933</v>
      </c>
      <c r="D8" s="217"/>
      <c r="F8" s="186">
        <v>100</v>
      </c>
      <c r="G8" s="186">
        <v>20</v>
      </c>
      <c r="H8" s="187">
        <v>0.47</v>
      </c>
    </row>
    <row r="9" spans="2:11">
      <c r="B9" s="178" t="s">
        <v>177</v>
      </c>
      <c r="C9" s="31">
        <v>0.95</v>
      </c>
      <c r="D9" s="217"/>
      <c r="F9" s="186">
        <v>75</v>
      </c>
      <c r="G9" s="186">
        <v>20</v>
      </c>
      <c r="H9" s="187">
        <v>0.02</v>
      </c>
    </row>
    <row r="10" spans="2:11">
      <c r="B10" s="178" t="s">
        <v>178</v>
      </c>
      <c r="C10" s="45"/>
      <c r="D10" s="217"/>
      <c r="F10" s="186">
        <v>60</v>
      </c>
      <c r="G10" s="186">
        <v>14</v>
      </c>
      <c r="H10" s="187">
        <v>0.5</v>
      </c>
    </row>
    <row r="11" spans="2:11">
      <c r="B11" s="188" t="s">
        <v>208</v>
      </c>
      <c r="C11" s="189">
        <v>3.5</v>
      </c>
      <c r="D11" s="217" t="s">
        <v>179</v>
      </c>
      <c r="F11" s="186">
        <v>40</v>
      </c>
      <c r="G11" s="186">
        <v>14</v>
      </c>
      <c r="H11" s="187">
        <v>0.01</v>
      </c>
    </row>
    <row r="12" spans="2:11">
      <c r="B12" s="218" t="s">
        <v>180</v>
      </c>
      <c r="C12" s="45">
        <v>365</v>
      </c>
      <c r="D12" s="217" t="s">
        <v>180</v>
      </c>
      <c r="F12" s="186">
        <v>0</v>
      </c>
      <c r="G12" s="186">
        <v>8</v>
      </c>
      <c r="H12" s="187">
        <v>0</v>
      </c>
    </row>
    <row r="13" spans="2:11" ht="13.5" thickBot="1">
      <c r="B13" s="188" t="s">
        <v>209</v>
      </c>
      <c r="C13" s="45">
        <f>C11*C12</f>
        <v>1277.5</v>
      </c>
      <c r="D13" s="45" t="s">
        <v>181</v>
      </c>
      <c r="F13" s="186">
        <v>0</v>
      </c>
      <c r="G13" s="186">
        <v>8</v>
      </c>
      <c r="H13" s="187">
        <v>0</v>
      </c>
    </row>
    <row r="14" spans="2:11" ht="13.5" thickBot="1">
      <c r="B14" s="190"/>
      <c r="C14" s="191"/>
      <c r="D14" s="219"/>
      <c r="F14" s="192">
        <f>F8*$H$8+F9*$H$9+F10*$H$10+F11*$H$11+F12*$H$12+F13*$H$13</f>
        <v>78.900000000000006</v>
      </c>
      <c r="G14" s="193">
        <f>G8*$H$8+G9*$H$9+G10*$H$10+G11*$H$11+G12*$H$12+G13*$H$13</f>
        <v>16.939999999999998</v>
      </c>
      <c r="H14" s="194">
        <f>SUM(H8:H13)</f>
        <v>1</v>
      </c>
    </row>
    <row r="15" spans="2:11">
      <c r="B15" s="174"/>
      <c r="C15" s="195"/>
      <c r="D15" s="216"/>
      <c r="H15" s="212"/>
      <c r="K15" s="212"/>
    </row>
    <row r="16" spans="2:11">
      <c r="B16" s="174"/>
      <c r="C16" s="195"/>
      <c r="D16" s="216"/>
      <c r="H16" s="212"/>
      <c r="K16" s="212"/>
    </row>
    <row r="17" spans="2:15">
      <c r="B17" s="174"/>
      <c r="C17" s="212"/>
      <c r="D17" s="212"/>
      <c r="H17" s="212"/>
    </row>
    <row r="18" spans="2:15">
      <c r="B18" s="174"/>
      <c r="C18" s="212"/>
      <c r="D18" s="212"/>
      <c r="H18" s="212"/>
    </row>
    <row r="19" spans="2:15">
      <c r="B19" s="196" t="s">
        <v>210</v>
      </c>
      <c r="C19" s="212"/>
      <c r="D19" s="212"/>
      <c r="H19" s="212"/>
    </row>
    <row r="20" spans="2:15">
      <c r="B20" s="197" t="s">
        <v>182</v>
      </c>
      <c r="C20" s="198" t="s">
        <v>183</v>
      </c>
      <c r="D20" s="198" t="s">
        <v>184</v>
      </c>
      <c r="E20" s="198" t="s">
        <v>185</v>
      </c>
      <c r="F20" s="198" t="s">
        <v>186</v>
      </c>
      <c r="G20" s="198" t="s">
        <v>187</v>
      </c>
      <c r="H20" s="198" t="s">
        <v>188</v>
      </c>
      <c r="I20" s="198" t="s">
        <v>189</v>
      </c>
      <c r="J20" s="198" t="s">
        <v>190</v>
      </c>
      <c r="K20" s="198" t="s">
        <v>191</v>
      </c>
      <c r="L20" s="198" t="s">
        <v>192</v>
      </c>
    </row>
    <row r="21" spans="2:15">
      <c r="B21" s="196" t="s">
        <v>193</v>
      </c>
      <c r="C21" s="199">
        <f>($F$14-$G$14)*$C$11*$C$12/1000</f>
        <v>79.153900000000007</v>
      </c>
      <c r="D21" s="199">
        <f t="shared" ref="D21:L21" si="0">($F$14-$G$14)*$C$11*$C$12/1000</f>
        <v>79.153900000000007</v>
      </c>
      <c r="E21" s="199">
        <f t="shared" si="0"/>
        <v>79.153900000000007</v>
      </c>
      <c r="F21" s="199">
        <f t="shared" si="0"/>
        <v>79.153900000000007</v>
      </c>
      <c r="G21" s="199">
        <f t="shared" si="0"/>
        <v>79.153900000000007</v>
      </c>
      <c r="H21" s="199">
        <f t="shared" si="0"/>
        <v>79.153900000000007</v>
      </c>
      <c r="I21" s="199">
        <f t="shared" si="0"/>
        <v>79.153900000000007</v>
      </c>
      <c r="J21" s="199">
        <f t="shared" si="0"/>
        <v>79.153900000000007</v>
      </c>
      <c r="K21" s="199">
        <f t="shared" si="0"/>
        <v>79.153900000000007</v>
      </c>
      <c r="L21" s="199">
        <f t="shared" si="0"/>
        <v>79.153900000000007</v>
      </c>
    </row>
    <row r="22" spans="2:15">
      <c r="B22" s="220"/>
      <c r="C22" s="221"/>
      <c r="D22" s="221"/>
      <c r="E22" s="220"/>
      <c r="F22" s="220"/>
      <c r="G22" s="216"/>
      <c r="H22" s="216"/>
      <c r="I22" s="216"/>
    </row>
    <row r="23" spans="2:15">
      <c r="B23" s="220"/>
      <c r="C23" s="221"/>
      <c r="D23" s="221"/>
      <c r="E23" s="220"/>
      <c r="F23" s="220"/>
      <c r="G23" s="216"/>
      <c r="H23" s="216"/>
      <c r="I23" s="216"/>
    </row>
    <row r="24" spans="2:15">
      <c r="B24" s="14" t="s">
        <v>194</v>
      </c>
    </row>
    <row r="25" spans="2:15">
      <c r="B25" s="31" t="s">
        <v>204</v>
      </c>
      <c r="C25" s="200">
        <f>C11*365</f>
        <v>1277.5</v>
      </c>
      <c r="N25" s="222"/>
    </row>
    <row r="26" spans="2:15">
      <c r="B26" s="31" t="s">
        <v>205</v>
      </c>
      <c r="C26" s="14">
        <v>50</v>
      </c>
      <c r="N26" s="223"/>
    </row>
    <row r="27" spans="2:15">
      <c r="B27" s="31" t="s">
        <v>206</v>
      </c>
      <c r="C27" s="200">
        <v>12000</v>
      </c>
    </row>
    <row r="28" spans="2:15" ht="13.5" thickBot="1">
      <c r="C28" s="201"/>
    </row>
    <row r="29" spans="2:15" ht="13.5" thickBot="1">
      <c r="B29" s="202" t="s">
        <v>182</v>
      </c>
      <c r="C29" s="224">
        <v>1</v>
      </c>
      <c r="D29" s="224">
        <v>2</v>
      </c>
      <c r="E29" s="224">
        <v>3</v>
      </c>
      <c r="F29" s="224">
        <v>4</v>
      </c>
      <c r="G29" s="224">
        <v>5</v>
      </c>
      <c r="H29" s="224">
        <v>6</v>
      </c>
      <c r="I29" s="224">
        <v>7</v>
      </c>
      <c r="J29" s="224">
        <v>8</v>
      </c>
      <c r="K29" s="224">
        <v>9</v>
      </c>
      <c r="L29" s="224">
        <v>10</v>
      </c>
      <c r="O29" s="222"/>
    </row>
    <row r="30" spans="2:15">
      <c r="B30" s="10" t="s">
        <v>195</v>
      </c>
      <c r="C30" s="225">
        <f t="shared" ref="C30:L30" si="1">C29*$C$25*(100-$C$26)/(100*$C$27)</f>
        <v>5.3229166666666668E-2</v>
      </c>
      <c r="D30" s="225">
        <f t="shared" si="1"/>
        <v>0.10645833333333334</v>
      </c>
      <c r="E30" s="225">
        <f t="shared" si="1"/>
        <v>0.15968750000000001</v>
      </c>
      <c r="F30" s="225">
        <f t="shared" si="1"/>
        <v>0.21291666666666667</v>
      </c>
      <c r="G30" s="225">
        <f t="shared" si="1"/>
        <v>0.26614583333333336</v>
      </c>
      <c r="H30" s="225">
        <f t="shared" si="1"/>
        <v>0.31937500000000002</v>
      </c>
      <c r="I30" s="225">
        <f t="shared" si="1"/>
        <v>0.37260416666666668</v>
      </c>
      <c r="J30" s="225">
        <f t="shared" si="1"/>
        <v>0.42583333333333334</v>
      </c>
      <c r="K30" s="225">
        <f t="shared" si="1"/>
        <v>0.4790625</v>
      </c>
      <c r="L30" s="225">
        <f t="shared" si="1"/>
        <v>0.53229166666666672</v>
      </c>
      <c r="N30" s="222"/>
      <c r="O30" s="223"/>
    </row>
    <row r="31" spans="2:15">
      <c r="B31" s="203" t="s">
        <v>196</v>
      </c>
      <c r="C31" s="226">
        <f>IF(C30&gt;50%,1, C30)</f>
        <v>5.3229166666666668E-2</v>
      </c>
      <c r="D31" s="226">
        <f t="shared" ref="D31:L31" si="2">IF(D30&gt;50%,0, D30)</f>
        <v>0.10645833333333334</v>
      </c>
      <c r="E31" s="226">
        <f t="shared" si="2"/>
        <v>0.15968750000000001</v>
      </c>
      <c r="F31" s="226">
        <f t="shared" si="2"/>
        <v>0.21291666666666667</v>
      </c>
      <c r="G31" s="226">
        <f t="shared" si="2"/>
        <v>0.26614583333333336</v>
      </c>
      <c r="H31" s="226">
        <f t="shared" si="2"/>
        <v>0.31937500000000002</v>
      </c>
      <c r="I31" s="226">
        <f t="shared" si="2"/>
        <v>0.37260416666666668</v>
      </c>
      <c r="J31" s="226">
        <f t="shared" si="2"/>
        <v>0.42583333333333334</v>
      </c>
      <c r="K31" s="226">
        <f t="shared" si="2"/>
        <v>0.4790625</v>
      </c>
      <c r="L31" s="226">
        <f t="shared" si="2"/>
        <v>0</v>
      </c>
    </row>
    <row r="32" spans="2:15">
      <c r="B32" s="16"/>
      <c r="C32" s="227"/>
      <c r="D32" s="227"/>
      <c r="E32" s="227"/>
      <c r="F32" s="227"/>
      <c r="G32" s="227"/>
      <c r="H32" s="227"/>
      <c r="I32" s="227"/>
      <c r="J32" s="227"/>
      <c r="K32" s="227"/>
      <c r="L32" s="227"/>
    </row>
    <row r="33" spans="2:13">
      <c r="B33" s="16"/>
      <c r="C33" s="227"/>
      <c r="D33" s="227"/>
      <c r="E33" s="227"/>
      <c r="F33" s="227"/>
      <c r="G33" s="227"/>
      <c r="H33" s="227"/>
      <c r="I33" s="227"/>
      <c r="J33" s="227"/>
      <c r="K33" s="227"/>
      <c r="L33" s="227"/>
    </row>
    <row r="34" spans="2:13">
      <c r="B34" s="204" t="s">
        <v>197</v>
      </c>
      <c r="C34" s="227"/>
      <c r="D34" s="227"/>
      <c r="E34" s="227"/>
      <c r="F34" s="227"/>
      <c r="G34" s="227"/>
      <c r="H34" s="227"/>
      <c r="I34" s="227"/>
      <c r="J34" s="227"/>
      <c r="K34" s="227"/>
      <c r="L34" s="227"/>
    </row>
    <row r="35" spans="2:13">
      <c r="B35" s="197" t="s">
        <v>182</v>
      </c>
      <c r="C35" s="198" t="s">
        <v>183</v>
      </c>
      <c r="D35" s="198" t="s">
        <v>184</v>
      </c>
      <c r="E35" s="198" t="s">
        <v>185</v>
      </c>
      <c r="F35" s="198" t="s">
        <v>186</v>
      </c>
      <c r="G35" s="198" t="s">
        <v>187</v>
      </c>
      <c r="H35" s="198" t="s">
        <v>188</v>
      </c>
      <c r="I35" s="198" t="s">
        <v>189</v>
      </c>
      <c r="J35" s="198" t="s">
        <v>190</v>
      </c>
      <c r="K35" s="198" t="s">
        <v>191</v>
      </c>
      <c r="L35" s="198" t="s">
        <v>192</v>
      </c>
    </row>
    <row r="36" spans="2:13">
      <c r="B36" s="205" t="s">
        <v>198</v>
      </c>
      <c r="C36" s="206">
        <f t="shared" ref="C36:L36" si="3">$C$6*(1-C31)*$C$21*1/(1-$C$7)*$C$9</f>
        <v>59327978.05946181</v>
      </c>
      <c r="D36" s="206">
        <f t="shared" si="3"/>
        <v>55992451.952256948</v>
      </c>
      <c r="E36" s="206">
        <f t="shared" si="3"/>
        <v>52656925.845052086</v>
      </c>
      <c r="F36" s="206">
        <f t="shared" si="3"/>
        <v>49321399.737847224</v>
      </c>
      <c r="G36" s="206">
        <f t="shared" si="3"/>
        <v>45985873.630642369</v>
      </c>
      <c r="H36" s="206">
        <f t="shared" si="3"/>
        <v>42650347.5234375</v>
      </c>
      <c r="I36" s="206">
        <f t="shared" si="3"/>
        <v>39314821.416232646</v>
      </c>
      <c r="J36" s="206">
        <f t="shared" si="3"/>
        <v>35979295.309027784</v>
      </c>
      <c r="K36" s="206">
        <f t="shared" si="3"/>
        <v>32643769.201822925</v>
      </c>
      <c r="L36" s="206">
        <f t="shared" si="3"/>
        <v>62663504.166666672</v>
      </c>
    </row>
    <row r="37" spans="2:13">
      <c r="B37" s="207" t="s">
        <v>199</v>
      </c>
      <c r="C37" s="228">
        <f>IF(C36&gt;60000000,60000000,C36)</f>
        <v>59327978.05946181</v>
      </c>
      <c r="D37" s="228">
        <f t="shared" ref="D37:L37" si="4">IF(D36&gt;60000000,60000000,D36)</f>
        <v>55992451.952256948</v>
      </c>
      <c r="E37" s="228">
        <f t="shared" si="4"/>
        <v>52656925.845052086</v>
      </c>
      <c r="F37" s="228">
        <f t="shared" si="4"/>
        <v>49321399.737847224</v>
      </c>
      <c r="G37" s="228">
        <f t="shared" si="4"/>
        <v>45985873.630642369</v>
      </c>
      <c r="H37" s="228">
        <f t="shared" si="4"/>
        <v>42650347.5234375</v>
      </c>
      <c r="I37" s="228">
        <f t="shared" si="4"/>
        <v>39314821.416232646</v>
      </c>
      <c r="J37" s="228">
        <f t="shared" si="4"/>
        <v>35979295.309027784</v>
      </c>
      <c r="K37" s="228">
        <f t="shared" si="4"/>
        <v>32643769.201822925</v>
      </c>
      <c r="L37" s="228">
        <f t="shared" si="4"/>
        <v>60000000</v>
      </c>
    </row>
    <row r="38" spans="2:13">
      <c r="C38" s="31"/>
      <c r="D38" s="31"/>
      <c r="E38" s="31"/>
      <c r="F38" s="31"/>
      <c r="G38" s="31"/>
      <c r="H38" s="31"/>
      <c r="I38" s="31"/>
      <c r="J38" s="31"/>
      <c r="K38" s="31"/>
      <c r="L38" s="31"/>
    </row>
    <row r="39" spans="2:13"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2:13">
      <c r="B40" s="14" t="s">
        <v>207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</row>
    <row r="41" spans="2:13">
      <c r="B41" s="197" t="s">
        <v>182</v>
      </c>
      <c r="C41" s="224">
        <v>1</v>
      </c>
      <c r="D41" s="224">
        <v>2</v>
      </c>
      <c r="E41" s="224">
        <v>3</v>
      </c>
      <c r="F41" s="224">
        <v>4</v>
      </c>
      <c r="G41" s="224">
        <v>5</v>
      </c>
      <c r="H41" s="224">
        <v>6</v>
      </c>
      <c r="I41" s="224">
        <v>7</v>
      </c>
      <c r="J41" s="224">
        <v>8</v>
      </c>
      <c r="K41" s="224">
        <v>9</v>
      </c>
      <c r="L41" s="224">
        <v>10</v>
      </c>
      <c r="M41" s="198" t="s">
        <v>200</v>
      </c>
    </row>
    <row r="42" spans="2:13">
      <c r="B42" s="205" t="s">
        <v>201</v>
      </c>
      <c r="C42" s="208">
        <f>C36*$C$8/1000</f>
        <v>37107.110415134222</v>
      </c>
      <c r="D42" s="208">
        <f t="shared" ref="D42:L42" si="5">D36*$C$8/1000</f>
        <v>35020.881630654781</v>
      </c>
      <c r="E42" s="208">
        <f t="shared" si="5"/>
        <v>32934.652846175348</v>
      </c>
      <c r="F42" s="208">
        <f t="shared" si="5"/>
        <v>30848.424061695914</v>
      </c>
      <c r="G42" s="208">
        <f t="shared" si="5"/>
        <v>28762.195277216484</v>
      </c>
      <c r="H42" s="208">
        <f t="shared" si="5"/>
        <v>26675.966492737043</v>
      </c>
      <c r="I42" s="208">
        <f t="shared" si="5"/>
        <v>24589.737708257613</v>
      </c>
      <c r="J42" s="208">
        <f t="shared" si="5"/>
        <v>22503.508923778176</v>
      </c>
      <c r="K42" s="208">
        <f t="shared" si="5"/>
        <v>20417.280139298746</v>
      </c>
      <c r="L42" s="208">
        <f t="shared" si="5"/>
        <v>39193.339199613656</v>
      </c>
      <c r="M42" s="209"/>
    </row>
    <row r="43" spans="2:13">
      <c r="B43" s="10" t="s">
        <v>202</v>
      </c>
      <c r="C43" s="228">
        <f>IF(C31&lt;&gt;0,C37*$C$8/1000)</f>
        <v>37107.110415134222</v>
      </c>
      <c r="D43" s="228">
        <f t="shared" ref="D43:K43" si="6">IF(D31&lt;&gt;0,D37*$C$8/1000)</f>
        <v>35020.881630654781</v>
      </c>
      <c r="E43" s="228">
        <f t="shared" si="6"/>
        <v>32934.652846175348</v>
      </c>
      <c r="F43" s="228">
        <f t="shared" si="6"/>
        <v>30848.424061695914</v>
      </c>
      <c r="G43" s="228">
        <f t="shared" si="6"/>
        <v>28762.195277216484</v>
      </c>
      <c r="H43" s="228">
        <f t="shared" si="6"/>
        <v>26675.966492737043</v>
      </c>
      <c r="I43" s="228">
        <f t="shared" si="6"/>
        <v>24589.737708257613</v>
      </c>
      <c r="J43" s="228">
        <f t="shared" si="6"/>
        <v>22503.508923778176</v>
      </c>
      <c r="K43" s="228">
        <f t="shared" si="6"/>
        <v>20417.280139298746</v>
      </c>
      <c r="L43" s="228">
        <f>IF(L31&lt;&gt;0,L37*$C$8/1000,0)</f>
        <v>0</v>
      </c>
      <c r="M43" s="210">
        <f>SUM(C43:L43)</f>
        <v>258859.75749494828</v>
      </c>
    </row>
    <row r="44" spans="2:13"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8" spans="2:13">
      <c r="C48" s="222"/>
    </row>
  </sheetData>
  <phoneticPr fontId="33" type="noConversion"/>
  <pageMargins left="0.7" right="0.7" top="0.75" bottom="0.75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165"/>
  <sheetViews>
    <sheetView tabSelected="1" workbookViewId="0">
      <selection activeCell="K21" sqref="K21"/>
    </sheetView>
  </sheetViews>
  <sheetFormatPr defaultRowHeight="15"/>
  <cols>
    <col min="1" max="1" width="9.140625" style="71" customWidth="1"/>
    <col min="2" max="2" width="17.85546875" style="71" customWidth="1"/>
    <col min="3" max="3" width="32" style="71" customWidth="1"/>
    <col min="4" max="4" width="13.42578125" style="71" customWidth="1"/>
    <col min="5" max="5" width="15.5703125" style="71" customWidth="1"/>
    <col min="6" max="6" width="18.42578125" style="71" customWidth="1"/>
    <col min="7" max="7" width="14.85546875" style="71" customWidth="1"/>
    <col min="8" max="8" width="14.7109375" style="71" customWidth="1"/>
    <col min="9" max="9" width="11.140625" style="71" customWidth="1"/>
    <col min="10" max="10" width="9.140625" style="71" customWidth="1"/>
    <col min="11" max="11" width="11.7109375" style="71" bestFit="1" customWidth="1"/>
    <col min="12" max="16384" width="9.140625" style="71"/>
  </cols>
  <sheetData>
    <row r="2" spans="2:9">
      <c r="B2" s="77" t="s">
        <v>37</v>
      </c>
    </row>
    <row r="3" spans="2:9">
      <c r="B3" s="254" t="s">
        <v>31</v>
      </c>
      <c r="C3" s="254"/>
      <c r="D3" s="65" t="s">
        <v>32</v>
      </c>
      <c r="E3" s="65" t="s">
        <v>33</v>
      </c>
      <c r="F3" s="65" t="s">
        <v>38</v>
      </c>
    </row>
    <row r="4" spans="2:9">
      <c r="B4" s="254" t="s">
        <v>39</v>
      </c>
      <c r="C4" s="254"/>
      <c r="D4" s="65" t="s">
        <v>40</v>
      </c>
      <c r="E4" s="65">
        <v>43.33</v>
      </c>
      <c r="F4" s="65" t="s">
        <v>89</v>
      </c>
    </row>
    <row r="5" spans="2:9">
      <c r="B5" s="254" t="s">
        <v>41</v>
      </c>
      <c r="C5" s="254"/>
      <c r="D5" s="65" t="s">
        <v>40</v>
      </c>
      <c r="E5" s="65">
        <v>48</v>
      </c>
      <c r="F5" s="65" t="s">
        <v>89</v>
      </c>
    </row>
    <row r="6" spans="2:9">
      <c r="B6" s="254" t="s">
        <v>42</v>
      </c>
      <c r="C6" s="254"/>
      <c r="D6" s="65" t="s">
        <v>43</v>
      </c>
      <c r="E6" s="65">
        <v>74.099999999999994</v>
      </c>
      <c r="F6" s="65" t="s">
        <v>89</v>
      </c>
    </row>
    <row r="7" spans="2:9">
      <c r="B7" s="254" t="s">
        <v>44</v>
      </c>
      <c r="C7" s="254"/>
      <c r="D7" s="65" t="s">
        <v>162</v>
      </c>
      <c r="E7" s="65">
        <f>E8/1000</f>
        <v>5.6100000000000004E-2</v>
      </c>
      <c r="F7" s="65" t="s">
        <v>89</v>
      </c>
    </row>
    <row r="8" spans="2:9">
      <c r="B8" s="254" t="s">
        <v>44</v>
      </c>
      <c r="C8" s="254"/>
      <c r="D8" s="65" t="s">
        <v>43</v>
      </c>
      <c r="E8" s="65">
        <v>56.1</v>
      </c>
      <c r="F8" s="65" t="s">
        <v>89</v>
      </c>
    </row>
    <row r="9" spans="2:9">
      <c r="B9" s="254" t="s">
        <v>45</v>
      </c>
      <c r="C9" s="254"/>
      <c r="D9" s="65" t="s">
        <v>46</v>
      </c>
      <c r="E9" s="65">
        <v>0.8</v>
      </c>
      <c r="F9" s="65" t="s">
        <v>89</v>
      </c>
      <c r="H9" s="71" t="s">
        <v>111</v>
      </c>
      <c r="I9" s="71" t="s">
        <v>112</v>
      </c>
    </row>
    <row r="10" spans="2:9">
      <c r="B10" s="254" t="s">
        <v>47</v>
      </c>
      <c r="C10" s="254"/>
      <c r="D10" s="65" t="s">
        <v>46</v>
      </c>
      <c r="E10" s="65">
        <v>885</v>
      </c>
      <c r="F10" s="170" t="s">
        <v>140</v>
      </c>
    </row>
    <row r="11" spans="2:9">
      <c r="B11" s="152" t="s">
        <v>165</v>
      </c>
      <c r="C11" s="152"/>
      <c r="D11" s="65" t="s">
        <v>95</v>
      </c>
      <c r="E11" s="171">
        <v>0.39500000000000002</v>
      </c>
      <c r="F11" s="170" t="s">
        <v>166</v>
      </c>
    </row>
    <row r="12" spans="2:9">
      <c r="E12" s="77"/>
    </row>
    <row r="13" spans="2:9">
      <c r="B13" s="78" t="s">
        <v>48</v>
      </c>
      <c r="C13" s="75"/>
      <c r="D13" s="75"/>
      <c r="E13" s="77"/>
    </row>
    <row r="14" spans="2:9">
      <c r="B14" s="79" t="s">
        <v>134</v>
      </c>
      <c r="C14" s="79">
        <v>16.018000000000001</v>
      </c>
      <c r="D14" s="79" t="s">
        <v>46</v>
      </c>
      <c r="E14" s="77"/>
    </row>
    <row r="15" spans="2:9">
      <c r="B15" s="65" t="s">
        <v>135</v>
      </c>
      <c r="C15" s="65">
        <v>6.2399999999999997E-2</v>
      </c>
      <c r="D15" s="65" t="s">
        <v>51</v>
      </c>
      <c r="E15" s="77"/>
    </row>
    <row r="16" spans="2:9">
      <c r="B16" s="65" t="s">
        <v>136</v>
      </c>
      <c r="C16" s="65">
        <v>2.8299999999999999E-2</v>
      </c>
      <c r="D16" s="65" t="s">
        <v>53</v>
      </c>
      <c r="E16" s="77"/>
    </row>
    <row r="17" spans="2:9">
      <c r="B17" s="65" t="s">
        <v>137</v>
      </c>
      <c r="C17" s="65">
        <v>3.6</v>
      </c>
      <c r="D17" s="65" t="s">
        <v>55</v>
      </c>
      <c r="E17" s="77"/>
    </row>
    <row r="20" spans="2:9">
      <c r="B20" s="85" t="s">
        <v>118</v>
      </c>
    </row>
    <row r="21" spans="2:9">
      <c r="B21" s="250" t="s">
        <v>92</v>
      </c>
      <c r="C21" s="250" t="s">
        <v>93</v>
      </c>
      <c r="D21" s="263" t="s">
        <v>125</v>
      </c>
      <c r="E21" s="263"/>
      <c r="F21" s="263"/>
      <c r="G21" s="263"/>
      <c r="H21" s="263"/>
      <c r="I21" s="268" t="s">
        <v>128</v>
      </c>
    </row>
    <row r="22" spans="2:9">
      <c r="B22" s="251"/>
      <c r="C22" s="251"/>
      <c r="D22" s="96">
        <v>2004</v>
      </c>
      <c r="E22" s="96">
        <v>2005</v>
      </c>
      <c r="F22" s="62">
        <v>2006</v>
      </c>
      <c r="G22" s="62">
        <v>2007</v>
      </c>
      <c r="H22" s="62">
        <v>2008</v>
      </c>
      <c r="I22" s="269"/>
    </row>
    <row r="23" spans="2:9" ht="15.75" thickBot="1">
      <c r="B23" s="252" t="s">
        <v>90</v>
      </c>
      <c r="C23" s="63" t="s">
        <v>2</v>
      </c>
      <c r="D23" s="64">
        <f>2878774</f>
        <v>2878774</v>
      </c>
      <c r="E23" s="64">
        <f>2586929.35</f>
        <v>2586929.35</v>
      </c>
      <c r="F23" s="98">
        <v>2366716.48</v>
      </c>
      <c r="G23" s="101">
        <v>2816749.7</v>
      </c>
      <c r="H23" s="104">
        <v>2707020</v>
      </c>
      <c r="I23" s="64">
        <f>SUM(D23:H23)</f>
        <v>13356189.530000001</v>
      </c>
    </row>
    <row r="24" spans="2:9" ht="15.75" thickBot="1">
      <c r="B24" s="252"/>
      <c r="C24" s="63" t="s">
        <v>3</v>
      </c>
      <c r="D24" s="95">
        <f>2703750</f>
        <v>2703750</v>
      </c>
      <c r="E24" s="95">
        <f>2268230</f>
        <v>2268230</v>
      </c>
      <c r="F24" s="99">
        <v>2171747</v>
      </c>
      <c r="G24" s="102">
        <v>2728899</v>
      </c>
      <c r="H24" s="105">
        <v>2794976</v>
      </c>
      <c r="I24" s="64">
        <f>SUM(D24:H24)</f>
        <v>12667602</v>
      </c>
    </row>
    <row r="25" spans="2:9" ht="15.75" thickBot="1">
      <c r="B25" s="252"/>
      <c r="C25" s="63" t="s">
        <v>4</v>
      </c>
      <c r="D25" s="64">
        <v>2425575</v>
      </c>
      <c r="E25" s="64">
        <v>1236090</v>
      </c>
      <c r="F25" s="99">
        <v>2432640</v>
      </c>
      <c r="G25" s="102">
        <v>2230761</v>
      </c>
      <c r="H25" s="105">
        <v>1941344</v>
      </c>
      <c r="I25" s="64">
        <f>SUM(D25:H25)</f>
        <v>10266410</v>
      </c>
    </row>
    <row r="26" spans="2:9" ht="15.75" thickBot="1">
      <c r="B26" s="252"/>
      <c r="C26" s="63" t="s">
        <v>138</v>
      </c>
      <c r="D26" s="142"/>
      <c r="E26" s="142"/>
      <c r="F26" s="143"/>
      <c r="G26" s="144"/>
      <c r="H26" s="106"/>
      <c r="I26" s="148"/>
    </row>
    <row r="27" spans="2:9" ht="15.75" thickBot="1">
      <c r="B27" s="252" t="s">
        <v>91</v>
      </c>
      <c r="C27" s="63" t="s">
        <v>5</v>
      </c>
      <c r="D27" s="95">
        <v>7962764.29</v>
      </c>
      <c r="E27" s="95">
        <f>8592097.13</f>
        <v>8592097.1300000008</v>
      </c>
      <c r="F27" s="99">
        <v>4924478.22</v>
      </c>
      <c r="G27" s="102">
        <v>3636680.32</v>
      </c>
      <c r="H27" s="106">
        <v>4381563.59</v>
      </c>
      <c r="I27" s="64">
        <f t="shared" ref="I27:I41" si="0">SUM(D27:H27)</f>
        <v>29497583.550000001</v>
      </c>
    </row>
    <row r="28" spans="2:9" ht="15.75" thickBot="1">
      <c r="B28" s="252"/>
      <c r="C28" s="63" t="s">
        <v>6</v>
      </c>
      <c r="D28" s="95">
        <f>1025568</f>
        <v>1025568</v>
      </c>
      <c r="E28" s="95">
        <f>878417</f>
        <v>878417</v>
      </c>
      <c r="F28" s="99">
        <v>185079</v>
      </c>
      <c r="G28" s="102">
        <v>490790</v>
      </c>
      <c r="H28" s="105">
        <v>728977</v>
      </c>
      <c r="I28" s="64">
        <f t="shared" si="0"/>
        <v>3308831</v>
      </c>
    </row>
    <row r="29" spans="2:9" ht="15.75" thickBot="1">
      <c r="B29" s="252"/>
      <c r="C29" s="63" t="s">
        <v>7</v>
      </c>
      <c r="D29" s="95">
        <f>1247813.4</f>
        <v>1247813.3999999999</v>
      </c>
      <c r="E29" s="95">
        <f>1838933.7</f>
        <v>1838933.7</v>
      </c>
      <c r="F29" s="99">
        <v>1864110.3</v>
      </c>
      <c r="G29" s="102">
        <v>1274102.7</v>
      </c>
      <c r="H29" s="105">
        <v>312271.59999999998</v>
      </c>
      <c r="I29" s="64">
        <f t="shared" si="0"/>
        <v>6537231.6999999993</v>
      </c>
    </row>
    <row r="30" spans="2:9" ht="15.75" thickBot="1">
      <c r="B30" s="252"/>
      <c r="C30" s="63" t="s">
        <v>8</v>
      </c>
      <c r="D30" s="95">
        <f>3933785.2</f>
        <v>3933785.2</v>
      </c>
      <c r="E30" s="95">
        <f>3235212.4</f>
        <v>3235212.4</v>
      </c>
      <c r="F30" s="99">
        <v>3752053.6</v>
      </c>
      <c r="G30" s="102">
        <v>2696718.6</v>
      </c>
      <c r="H30" s="105">
        <v>1510988</v>
      </c>
      <c r="I30" s="64">
        <f t="shared" si="0"/>
        <v>15128757.799999999</v>
      </c>
    </row>
    <row r="31" spans="2:9" ht="15.75" thickBot="1">
      <c r="B31" s="252"/>
      <c r="C31" s="63" t="s">
        <v>9</v>
      </c>
      <c r="D31" s="95">
        <f>1953276.39</f>
        <v>1953276.39</v>
      </c>
      <c r="E31" s="95">
        <f>2018363.57</f>
        <v>2018363.57</v>
      </c>
      <c r="F31" s="99">
        <v>1966491.67</v>
      </c>
      <c r="G31" s="102">
        <v>1675496.28</v>
      </c>
      <c r="H31" s="105">
        <v>1846701.9</v>
      </c>
      <c r="I31" s="64">
        <f t="shared" si="0"/>
        <v>9460329.8100000005</v>
      </c>
    </row>
    <row r="32" spans="2:9" ht="15.75" thickBot="1">
      <c r="B32" s="252"/>
      <c r="C32" s="63" t="s">
        <v>10</v>
      </c>
      <c r="D32" s="95">
        <f>935.78</f>
        <v>935.78</v>
      </c>
      <c r="E32" s="95">
        <f>201.72</f>
        <v>201.72</v>
      </c>
      <c r="F32" s="99">
        <v>0</v>
      </c>
      <c r="G32" s="102">
        <v>0</v>
      </c>
      <c r="H32" s="105">
        <v>0</v>
      </c>
      <c r="I32" s="64">
        <f t="shared" si="0"/>
        <v>1137.5</v>
      </c>
    </row>
    <row r="33" spans="2:9" ht="15.75" thickBot="1">
      <c r="B33" s="252"/>
      <c r="C33" s="63" t="s">
        <v>11</v>
      </c>
      <c r="D33" s="95">
        <f>1408.6</f>
        <v>1408.6</v>
      </c>
      <c r="E33" s="95">
        <v>0</v>
      </c>
      <c r="F33" s="99">
        <v>0</v>
      </c>
      <c r="G33" s="102">
        <v>0</v>
      </c>
      <c r="H33" s="105">
        <v>0</v>
      </c>
      <c r="I33" s="64">
        <f t="shared" si="0"/>
        <v>1408.6</v>
      </c>
    </row>
    <row r="34" spans="2:9" ht="15.75" thickBot="1">
      <c r="B34" s="252"/>
      <c r="C34" s="63" t="s">
        <v>12</v>
      </c>
      <c r="D34" s="95">
        <f>1060.4</f>
        <v>1060.4000000000001</v>
      </c>
      <c r="E34" s="95">
        <v>0</v>
      </c>
      <c r="F34" s="99">
        <v>0</v>
      </c>
      <c r="G34" s="102">
        <v>0</v>
      </c>
      <c r="H34" s="105">
        <v>0</v>
      </c>
      <c r="I34" s="64">
        <f t="shared" si="0"/>
        <v>1060.4000000000001</v>
      </c>
    </row>
    <row r="35" spans="2:9" ht="15.75" thickBot="1">
      <c r="B35" s="252"/>
      <c r="C35" s="63" t="s">
        <v>13</v>
      </c>
      <c r="D35" s="95">
        <v>0</v>
      </c>
      <c r="E35" s="95">
        <f>1343611</f>
        <v>1343611</v>
      </c>
      <c r="F35" s="99">
        <v>3267430</v>
      </c>
      <c r="G35" s="102">
        <v>3294207</v>
      </c>
      <c r="H35" s="105">
        <v>2708671</v>
      </c>
      <c r="I35" s="64">
        <f t="shared" si="0"/>
        <v>10613919</v>
      </c>
    </row>
    <row r="36" spans="2:9" ht="15.75" thickBot="1">
      <c r="B36" s="252"/>
      <c r="C36" s="63" t="s">
        <v>14</v>
      </c>
      <c r="D36" s="95">
        <v>0</v>
      </c>
      <c r="E36" s="95">
        <f>80597</f>
        <v>80597</v>
      </c>
      <c r="F36" s="99">
        <v>356452</v>
      </c>
      <c r="G36" s="102">
        <v>572517</v>
      </c>
      <c r="H36" s="105">
        <v>30344</v>
      </c>
      <c r="I36" s="64">
        <f t="shared" si="0"/>
        <v>1039910</v>
      </c>
    </row>
    <row r="37" spans="2:9" ht="15.75" thickBot="1">
      <c r="B37" s="252"/>
      <c r="C37" s="63" t="s">
        <v>142</v>
      </c>
      <c r="D37" s="142">
        <v>0</v>
      </c>
      <c r="E37" s="142">
        <v>0</v>
      </c>
      <c r="F37" s="143">
        <v>12282</v>
      </c>
      <c r="G37" s="144">
        <v>429267.53</v>
      </c>
      <c r="H37" s="106">
        <v>297580.26</v>
      </c>
      <c r="I37" s="64">
        <f t="shared" si="0"/>
        <v>739129.79</v>
      </c>
    </row>
    <row r="38" spans="2:9" ht="15.75" thickBot="1">
      <c r="B38" s="252"/>
      <c r="C38" s="63" t="s">
        <v>15</v>
      </c>
      <c r="D38" s="95">
        <v>0</v>
      </c>
      <c r="E38" s="95">
        <v>0</v>
      </c>
      <c r="F38" s="99">
        <v>0</v>
      </c>
      <c r="G38" s="102">
        <v>146800.91</v>
      </c>
      <c r="H38" s="105">
        <v>491852.3</v>
      </c>
      <c r="I38" s="64">
        <f t="shared" si="0"/>
        <v>638653.21</v>
      </c>
    </row>
    <row r="39" spans="2:9" ht="15.75" thickBot="1">
      <c r="B39" s="252"/>
      <c r="C39" s="63" t="s">
        <v>16</v>
      </c>
      <c r="D39" s="95">
        <v>0</v>
      </c>
      <c r="E39" s="95">
        <v>0</v>
      </c>
      <c r="F39" s="99">
        <v>0</v>
      </c>
      <c r="G39" s="102">
        <v>1193552.8799999999</v>
      </c>
      <c r="H39" s="105">
        <v>995874.58</v>
      </c>
      <c r="I39" s="64">
        <f t="shared" si="0"/>
        <v>2189427.46</v>
      </c>
    </row>
    <row r="40" spans="2:9" ht="15.75" thickBot="1">
      <c r="B40" s="252"/>
      <c r="C40" s="63" t="s">
        <v>17</v>
      </c>
      <c r="D40" s="95">
        <v>0</v>
      </c>
      <c r="E40" s="95">
        <v>0</v>
      </c>
      <c r="F40" s="99">
        <v>0</v>
      </c>
      <c r="G40" s="102">
        <v>0</v>
      </c>
      <c r="H40" s="105">
        <v>418545.88</v>
      </c>
      <c r="I40" s="64">
        <f t="shared" si="0"/>
        <v>418545.88</v>
      </c>
    </row>
    <row r="41" spans="2:9" ht="15.75" thickBot="1">
      <c r="B41" s="252"/>
      <c r="C41" s="63" t="s">
        <v>18</v>
      </c>
      <c r="D41" s="95">
        <v>0</v>
      </c>
      <c r="E41" s="95">
        <v>0</v>
      </c>
      <c r="F41" s="100">
        <v>0</v>
      </c>
      <c r="G41" s="103">
        <v>0</v>
      </c>
      <c r="H41" s="107">
        <v>142388.78</v>
      </c>
      <c r="I41" s="64">
        <f t="shared" si="0"/>
        <v>142388.78</v>
      </c>
    </row>
    <row r="42" spans="2:9">
      <c r="B42" s="259" t="s">
        <v>126</v>
      </c>
      <c r="C42" s="259"/>
      <c r="D42" s="97">
        <f>SUM(I23:I41)</f>
        <v>116008516.00999999</v>
      </c>
    </row>
    <row r="43" spans="2:9">
      <c r="B43" s="259" t="s">
        <v>127</v>
      </c>
      <c r="C43" s="259"/>
      <c r="D43" s="97">
        <f>SUM(I23:I25)</f>
        <v>36290201.530000001</v>
      </c>
    </row>
    <row r="44" spans="2:9">
      <c r="B44" s="259" t="s">
        <v>129</v>
      </c>
      <c r="C44" s="259"/>
      <c r="D44" s="97">
        <f>D42-D43</f>
        <v>79718314.479999989</v>
      </c>
    </row>
    <row r="45" spans="2:9">
      <c r="B45" s="259" t="s">
        <v>36</v>
      </c>
      <c r="C45" s="259"/>
      <c r="D45" s="66">
        <f>D43/D42</f>
        <v>0.31282359931982723</v>
      </c>
    </row>
    <row r="46" spans="2:9">
      <c r="B46" s="259" t="s">
        <v>113</v>
      </c>
      <c r="C46" s="259"/>
      <c r="D46" s="66">
        <f>D44/D42</f>
        <v>0.68717640068017272</v>
      </c>
    </row>
    <row r="47" spans="2:9">
      <c r="B47" s="134" t="s">
        <v>143</v>
      </c>
    </row>
    <row r="48" spans="2:9">
      <c r="B48" s="134"/>
    </row>
    <row r="49" spans="2:6">
      <c r="B49" s="134"/>
    </row>
    <row r="50" spans="2:6">
      <c r="B50" s="134"/>
    </row>
    <row r="52" spans="2:6">
      <c r="B52" s="89" t="s">
        <v>104</v>
      </c>
    </row>
    <row r="53" spans="2:6" ht="80.25" customHeight="1">
      <c r="B53" s="268" t="s">
        <v>19</v>
      </c>
      <c r="C53" s="250" t="s">
        <v>93</v>
      </c>
      <c r="D53" s="265" t="s">
        <v>150</v>
      </c>
      <c r="E53" s="266"/>
      <c r="F53" s="267"/>
    </row>
    <row r="54" spans="2:6" ht="16.5" customHeight="1">
      <c r="B54" s="269"/>
      <c r="C54" s="251"/>
      <c r="D54" s="76">
        <v>2006</v>
      </c>
      <c r="E54" s="76">
        <v>2007</v>
      </c>
      <c r="F54" s="76">
        <v>2008</v>
      </c>
    </row>
    <row r="55" spans="2:6" ht="15.75" thickBot="1">
      <c r="B55" s="260" t="s">
        <v>20</v>
      </c>
      <c r="C55" s="65" t="s">
        <v>2</v>
      </c>
      <c r="D55" s="109">
        <v>0</v>
      </c>
      <c r="E55" s="109">
        <v>0</v>
      </c>
      <c r="F55" s="113">
        <v>0</v>
      </c>
    </row>
    <row r="56" spans="2:6" ht="15.75" thickBot="1">
      <c r="B56" s="261"/>
      <c r="C56" s="65" t="s">
        <v>3</v>
      </c>
      <c r="D56" s="110">
        <v>0</v>
      </c>
      <c r="E56" s="110">
        <v>0</v>
      </c>
      <c r="F56" s="114">
        <v>0</v>
      </c>
    </row>
    <row r="57" spans="2:6" ht="15.75" thickBot="1">
      <c r="B57" s="261"/>
      <c r="C57" s="65" t="s">
        <v>4</v>
      </c>
      <c r="D57" s="110">
        <v>0</v>
      </c>
      <c r="E57" s="110">
        <v>0</v>
      </c>
      <c r="F57" s="114">
        <v>0</v>
      </c>
    </row>
    <row r="58" spans="2:6" ht="15.75" thickBot="1">
      <c r="B58" s="262"/>
      <c r="C58" s="71" t="s">
        <v>139</v>
      </c>
      <c r="D58" s="111"/>
      <c r="E58" s="111"/>
      <c r="F58" s="115"/>
    </row>
    <row r="59" spans="2:6" ht="15.75" thickBot="1">
      <c r="B59" s="260" t="s">
        <v>21</v>
      </c>
      <c r="C59" s="65" t="s">
        <v>5</v>
      </c>
      <c r="D59" s="110">
        <v>50523.236653</v>
      </c>
      <c r="E59" s="110">
        <v>35601.394820000001</v>
      </c>
      <c r="F59" s="114">
        <v>47874.795900999998</v>
      </c>
    </row>
    <row r="60" spans="2:6" ht="15.75" thickBot="1">
      <c r="B60" s="261"/>
      <c r="C60" s="65" t="s">
        <v>6</v>
      </c>
      <c r="D60" s="110">
        <v>2630.618903</v>
      </c>
      <c r="E60" s="110">
        <v>7397.5502619999997</v>
      </c>
      <c r="F60" s="114">
        <v>7675.4575759999998</v>
      </c>
    </row>
    <row r="61" spans="2:6" ht="15.75" thickBot="1">
      <c r="B61" s="261"/>
      <c r="C61" s="65" t="s">
        <v>7</v>
      </c>
      <c r="D61" s="110">
        <v>24732.385664000001</v>
      </c>
      <c r="E61" s="110">
        <v>17934.557699000001</v>
      </c>
      <c r="F61" s="114">
        <v>4749.062535</v>
      </c>
    </row>
    <row r="62" spans="2:6" ht="15.75" thickBot="1">
      <c r="B62" s="261"/>
      <c r="C62" s="65" t="s">
        <v>8</v>
      </c>
      <c r="D62" s="110">
        <v>48004.344752999998</v>
      </c>
      <c r="E62" s="110">
        <v>38216.355189000002</v>
      </c>
      <c r="F62" s="114">
        <v>21057.922891999999</v>
      </c>
    </row>
    <row r="63" spans="2:6" ht="15.75" thickBot="1">
      <c r="B63" s="261"/>
      <c r="C63" s="65" t="s">
        <v>9</v>
      </c>
      <c r="D63" s="110">
        <v>24909.162499999999</v>
      </c>
      <c r="E63" s="110">
        <v>20708.820100000001</v>
      </c>
      <c r="F63" s="114">
        <v>23920.230599999999</v>
      </c>
    </row>
    <row r="64" spans="2:6" ht="15.75" thickBot="1">
      <c r="B64" s="261"/>
      <c r="C64" s="65" t="s">
        <v>10</v>
      </c>
      <c r="D64" s="110">
        <v>0</v>
      </c>
      <c r="E64" s="110">
        <v>0</v>
      </c>
      <c r="F64" s="114">
        <v>0</v>
      </c>
    </row>
    <row r="65" spans="2:6" ht="15.75" thickBot="1">
      <c r="B65" s="262"/>
      <c r="C65" s="65" t="s">
        <v>11</v>
      </c>
      <c r="D65" s="110">
        <v>0</v>
      </c>
      <c r="E65" s="110">
        <v>0</v>
      </c>
      <c r="F65" s="114">
        <v>0</v>
      </c>
    </row>
    <row r="66" spans="2:6" ht="15.75" thickBot="1">
      <c r="B66" s="91" t="s">
        <v>22</v>
      </c>
      <c r="C66" s="65" t="s">
        <v>12</v>
      </c>
      <c r="D66" s="110">
        <v>0</v>
      </c>
      <c r="E66" s="110">
        <v>0</v>
      </c>
      <c r="F66" s="114">
        <v>0</v>
      </c>
    </row>
    <row r="67" spans="2:6" ht="15.75" thickBot="1">
      <c r="B67" s="260" t="s">
        <v>21</v>
      </c>
      <c r="C67" s="65" t="s">
        <v>13</v>
      </c>
      <c r="D67" s="168" t="s">
        <v>164</v>
      </c>
      <c r="E67" s="168" t="s">
        <v>164</v>
      </c>
      <c r="F67" s="169" t="s">
        <v>164</v>
      </c>
    </row>
    <row r="68" spans="2:6" ht="15.75" thickBot="1">
      <c r="B68" s="261"/>
      <c r="C68" s="65" t="s">
        <v>14</v>
      </c>
      <c r="D68" s="168" t="s">
        <v>164</v>
      </c>
      <c r="E68" s="168" t="s">
        <v>164</v>
      </c>
      <c r="F68" s="169" t="s">
        <v>164</v>
      </c>
    </row>
    <row r="69" spans="2:6" ht="15.75" thickBot="1">
      <c r="B69" s="261"/>
      <c r="C69" s="65" t="s">
        <v>142</v>
      </c>
      <c r="D69" s="168" t="s">
        <v>164</v>
      </c>
      <c r="E69" s="168" t="s">
        <v>164</v>
      </c>
      <c r="F69" s="169" t="s">
        <v>164</v>
      </c>
    </row>
    <row r="70" spans="2:6" ht="15.75" thickBot="1">
      <c r="B70" s="261"/>
      <c r="C70" s="65" t="s">
        <v>15</v>
      </c>
      <c r="D70" s="110">
        <v>0</v>
      </c>
      <c r="E70" s="110">
        <v>1392.655524</v>
      </c>
      <c r="F70" s="114">
        <v>5507.9448410000005</v>
      </c>
    </row>
    <row r="71" spans="2:6" ht="15.75" thickBot="1">
      <c r="B71" s="261"/>
      <c r="C71" s="65" t="s">
        <v>16</v>
      </c>
      <c r="D71" s="110">
        <v>0</v>
      </c>
      <c r="E71" s="110">
        <v>10593.327284000001</v>
      </c>
      <c r="F71" s="114">
        <v>11475.779667000001</v>
      </c>
    </row>
    <row r="72" spans="2:6" ht="15.75" thickBot="1">
      <c r="B72" s="261"/>
      <c r="C72" s="65" t="s">
        <v>17</v>
      </c>
      <c r="D72" s="110">
        <v>0</v>
      </c>
      <c r="E72" s="110">
        <v>0</v>
      </c>
      <c r="F72" s="114">
        <v>4638.3409240000001</v>
      </c>
    </row>
    <row r="73" spans="2:6" ht="15.75" thickBot="1">
      <c r="B73" s="262"/>
      <c r="C73" s="65" t="s">
        <v>18</v>
      </c>
      <c r="D73" s="112">
        <v>0</v>
      </c>
      <c r="E73" s="112">
        <v>0</v>
      </c>
      <c r="F73" s="169" t="s">
        <v>164</v>
      </c>
    </row>
    <row r="74" spans="2:6">
      <c r="B74" s="134" t="s">
        <v>149</v>
      </c>
    </row>
    <row r="75" spans="2:6">
      <c r="B75" s="134"/>
    </row>
    <row r="76" spans="2:6">
      <c r="B76" s="134"/>
    </row>
    <row r="77" spans="2:6">
      <c r="B77" s="134"/>
    </row>
    <row r="78" spans="2:6">
      <c r="B78" s="77" t="s">
        <v>105</v>
      </c>
    </row>
    <row r="79" spans="2:6">
      <c r="B79" s="264" t="s">
        <v>100</v>
      </c>
      <c r="C79" s="263" t="s">
        <v>116</v>
      </c>
      <c r="D79" s="263"/>
      <c r="E79" s="263"/>
    </row>
    <row r="80" spans="2:6" ht="15" customHeight="1">
      <c r="B80" s="264"/>
      <c r="C80" s="76">
        <v>2006</v>
      </c>
      <c r="D80" s="76">
        <v>2007</v>
      </c>
      <c r="E80" s="76">
        <v>2008</v>
      </c>
    </row>
    <row r="81" spans="2:5">
      <c r="B81" s="65" t="s">
        <v>2</v>
      </c>
      <c r="C81" s="80">
        <f t="shared" ref="C81:E83" si="1">(D55*$E$5*$E$8*$E$9*$C$16)</f>
        <v>0</v>
      </c>
      <c r="D81" s="80">
        <f t="shared" si="1"/>
        <v>0</v>
      </c>
      <c r="E81" s="80">
        <f t="shared" si="1"/>
        <v>0</v>
      </c>
    </row>
    <row r="82" spans="2:5">
      <c r="B82" s="65" t="s">
        <v>3</v>
      </c>
      <c r="C82" s="80">
        <f t="shared" si="1"/>
        <v>0</v>
      </c>
      <c r="D82" s="80">
        <f t="shared" si="1"/>
        <v>0</v>
      </c>
      <c r="E82" s="80">
        <f t="shared" si="1"/>
        <v>0</v>
      </c>
    </row>
    <row r="83" spans="2:5">
      <c r="B83" s="65" t="s">
        <v>4</v>
      </c>
      <c r="C83" s="80">
        <f t="shared" si="1"/>
        <v>0</v>
      </c>
      <c r="D83" s="80">
        <f t="shared" si="1"/>
        <v>0</v>
      </c>
      <c r="E83" s="80">
        <f t="shared" si="1"/>
        <v>0</v>
      </c>
    </row>
    <row r="84" spans="2:5">
      <c r="B84" s="65" t="s">
        <v>139</v>
      </c>
      <c r="C84" s="86"/>
      <c r="D84" s="86"/>
      <c r="E84" s="86"/>
    </row>
    <row r="85" spans="2:5">
      <c r="B85" s="65" t="s">
        <v>5</v>
      </c>
      <c r="C85" s="97">
        <f t="shared" ref="C85:C91" si="2">(D59*$E$9*$C$16*$E$8*$E$5)</f>
        <v>3080148.7183642518</v>
      </c>
      <c r="D85" s="97">
        <f t="shared" ref="D85:E91" si="3">(E59*$E$5*$E$8*$E$9*$C$16)</f>
        <v>2170438.7503901417</v>
      </c>
      <c r="E85" s="97">
        <f t="shared" si="3"/>
        <v>2918686.5491060978</v>
      </c>
    </row>
    <row r="86" spans="2:5">
      <c r="B86" s="65" t="s">
        <v>6</v>
      </c>
      <c r="C86" s="97">
        <f t="shared" si="2"/>
        <v>160375.66037644379</v>
      </c>
      <c r="D86" s="97">
        <f t="shared" si="3"/>
        <v>450991.59254242794</v>
      </c>
      <c r="E86" s="97">
        <f t="shared" si="3"/>
        <v>467934.20971717936</v>
      </c>
    </row>
    <row r="87" spans="2:5">
      <c r="B87" s="65" t="s">
        <v>7</v>
      </c>
      <c r="C87" s="97">
        <f t="shared" si="2"/>
        <v>1507809.6941466748</v>
      </c>
      <c r="D87" s="97">
        <f t="shared" si="3"/>
        <v>1093380.1666430735</v>
      </c>
      <c r="E87" s="97">
        <f t="shared" si="3"/>
        <v>289526.55945377465</v>
      </c>
    </row>
    <row r="88" spans="2:5">
      <c r="B88" s="65" t="s">
        <v>8</v>
      </c>
      <c r="C88" s="97">
        <f t="shared" si="2"/>
        <v>2926584.4938318869</v>
      </c>
      <c r="D88" s="97">
        <f t="shared" si="3"/>
        <v>2329859.7883665436</v>
      </c>
      <c r="E88" s="97">
        <f t="shared" si="3"/>
        <v>1283796.1006473969</v>
      </c>
    </row>
    <row r="89" spans="2:5">
      <c r="B89" s="65" t="s">
        <v>9</v>
      </c>
      <c r="C89" s="97">
        <f t="shared" si="2"/>
        <v>1518586.8925392001</v>
      </c>
      <c r="D89" s="97">
        <f t="shared" si="3"/>
        <v>1262513.0517259396</v>
      </c>
      <c r="E89" s="97">
        <f t="shared" si="3"/>
        <v>1458296.6671671551</v>
      </c>
    </row>
    <row r="90" spans="2:5">
      <c r="B90" s="65" t="s">
        <v>10</v>
      </c>
      <c r="C90" s="97">
        <f t="shared" si="2"/>
        <v>0</v>
      </c>
      <c r="D90" s="97">
        <f t="shared" si="3"/>
        <v>0</v>
      </c>
      <c r="E90" s="97">
        <f t="shared" si="3"/>
        <v>0</v>
      </c>
    </row>
    <row r="91" spans="2:5">
      <c r="B91" s="65" t="s">
        <v>11</v>
      </c>
      <c r="C91" s="97">
        <f t="shared" si="2"/>
        <v>0</v>
      </c>
      <c r="D91" s="97">
        <f t="shared" si="3"/>
        <v>0</v>
      </c>
      <c r="E91" s="97">
        <f t="shared" si="3"/>
        <v>0</v>
      </c>
    </row>
    <row r="92" spans="2:5">
      <c r="B92" s="81" t="s">
        <v>12</v>
      </c>
      <c r="C92" s="97">
        <f>(D66*$E$4*$E$6/1000)</f>
        <v>0</v>
      </c>
      <c r="D92" s="97">
        <f>(E66*$E$4*$E$6/1000)</f>
        <v>0</v>
      </c>
      <c r="E92" s="97">
        <f>(F66*$E$4*$E$6/1000)</f>
        <v>0</v>
      </c>
    </row>
    <row r="93" spans="2:5">
      <c r="B93" s="65" t="s">
        <v>13</v>
      </c>
      <c r="C93" s="172">
        <f t="shared" ref="C93:E95" si="4">($E$7*3.6/$E$11)*F35</f>
        <v>1670608.0070886079</v>
      </c>
      <c r="D93" s="172">
        <f t="shared" si="4"/>
        <v>1684298.849924051</v>
      </c>
      <c r="E93" s="172">
        <f t="shared" si="4"/>
        <v>1384919.4814177216</v>
      </c>
    </row>
    <row r="94" spans="2:5">
      <c r="B94" s="65" t="s">
        <v>14</v>
      </c>
      <c r="C94" s="172">
        <f t="shared" si="4"/>
        <v>182250.749164557</v>
      </c>
      <c r="D94" s="172">
        <f t="shared" si="4"/>
        <v>292722.86916455702</v>
      </c>
      <c r="E94" s="172">
        <f t="shared" si="4"/>
        <v>15514.618329113926</v>
      </c>
    </row>
    <row r="95" spans="2:5">
      <c r="B95" s="65" t="s">
        <v>142</v>
      </c>
      <c r="C95" s="172">
        <f t="shared" si="4"/>
        <v>6279.6777721518993</v>
      </c>
      <c r="D95" s="172">
        <f t="shared" si="4"/>
        <v>219480.68445265829</v>
      </c>
      <c r="E95" s="172">
        <f t="shared" si="4"/>
        <v>152150.1501508861</v>
      </c>
    </row>
    <row r="96" spans="2:5">
      <c r="B96" s="65" t="s">
        <v>15</v>
      </c>
      <c r="C96" s="97">
        <f>(D70*$E$9*$C$16*$E$8*$E$5)</f>
        <v>0</v>
      </c>
      <c r="D96" s="97">
        <f t="shared" ref="D96:E98" si="5">(E70*$E$5*$E$8*$E$9*$C$16)</f>
        <v>84903.232879415809</v>
      </c>
      <c r="E96" s="97">
        <f t="shared" si="5"/>
        <v>335791.81316800631</v>
      </c>
    </row>
    <row r="97" spans="2:5">
      <c r="B97" s="65" t="s">
        <v>16</v>
      </c>
      <c r="C97" s="97">
        <f>(D71*$E$9*$C$16*$E$8*$E$5)</f>
        <v>0</v>
      </c>
      <c r="D97" s="97">
        <f t="shared" si="5"/>
        <v>645822.11312244192</v>
      </c>
      <c r="E97" s="97">
        <f t="shared" si="5"/>
        <v>699620.81559241773</v>
      </c>
    </row>
    <row r="98" spans="2:5">
      <c r="B98" s="65" t="s">
        <v>17</v>
      </c>
      <c r="C98" s="97">
        <f>(D72*$E$9*$C$16*$E$8*$E$5)</f>
        <v>0</v>
      </c>
      <c r="D98" s="97">
        <f t="shared" si="5"/>
        <v>0</v>
      </c>
      <c r="E98" s="97">
        <f t="shared" si="5"/>
        <v>282776.41732493264</v>
      </c>
    </row>
    <row r="99" spans="2:5">
      <c r="B99" s="65" t="s">
        <v>18</v>
      </c>
      <c r="C99" s="97">
        <f>(D73*$E$9*$C$16*$E$8*$E$5)</f>
        <v>0</v>
      </c>
      <c r="D99" s="97">
        <f>(E73*$E$5*$E$8*$E$9*$C$16)</f>
        <v>0</v>
      </c>
      <c r="E99" s="97">
        <f>($E$7*3.6/$E$11)*H41</f>
        <v>72802.121541265835</v>
      </c>
    </row>
    <row r="100" spans="2:5">
      <c r="B100" s="254" t="s">
        <v>60</v>
      </c>
      <c r="C100" s="254"/>
      <c r="D100" s="254"/>
      <c r="E100" s="97">
        <f>SUM(C85:C99)</f>
        <v>11052643.893283773</v>
      </c>
    </row>
    <row r="101" spans="2:5">
      <c r="B101" s="254" t="s">
        <v>61</v>
      </c>
      <c r="C101" s="254"/>
      <c r="D101" s="254"/>
      <c r="E101" s="97">
        <f>SUM(D85:D99)</f>
        <v>10234411.099211251</v>
      </c>
    </row>
    <row r="102" spans="2:5">
      <c r="B102" s="254" t="s">
        <v>62</v>
      </c>
      <c r="C102" s="254"/>
      <c r="D102" s="254"/>
      <c r="E102" s="97">
        <f>SUM(E85:E99)</f>
        <v>9361815.5036159474</v>
      </c>
    </row>
    <row r="103" spans="2:5">
      <c r="B103" s="254" t="s">
        <v>63</v>
      </c>
      <c r="C103" s="254"/>
      <c r="D103" s="254"/>
      <c r="E103" s="97">
        <f>SUM(F27:F41)</f>
        <v>16328376.789999999</v>
      </c>
    </row>
    <row r="104" spans="2:5">
      <c r="B104" s="254" t="s">
        <v>64</v>
      </c>
      <c r="C104" s="254"/>
      <c r="D104" s="254"/>
      <c r="E104" s="97">
        <f>SUM(G27:G41)</f>
        <v>15410133.219999999</v>
      </c>
    </row>
    <row r="105" spans="2:5">
      <c r="B105" s="254" t="s">
        <v>65</v>
      </c>
      <c r="C105" s="254"/>
      <c r="D105" s="254"/>
      <c r="E105" s="97">
        <f>SUM(H27:H41)</f>
        <v>13865758.890000001</v>
      </c>
    </row>
    <row r="106" spans="2:5">
      <c r="B106" s="254" t="s">
        <v>66</v>
      </c>
      <c r="C106" s="254"/>
      <c r="D106" s="254"/>
      <c r="E106" s="86">
        <f>E100/E103</f>
        <v>0.67689789594105598</v>
      </c>
    </row>
    <row r="107" spans="2:5">
      <c r="B107" s="254" t="s">
        <v>67</v>
      </c>
      <c r="C107" s="254"/>
      <c r="D107" s="254"/>
      <c r="E107" s="86">
        <f>E101/E104</f>
        <v>0.66413514750985725</v>
      </c>
    </row>
    <row r="108" spans="2:5">
      <c r="B108" s="254" t="s">
        <v>68</v>
      </c>
      <c r="C108" s="254"/>
      <c r="D108" s="254"/>
      <c r="E108" s="86">
        <f>E102/E105</f>
        <v>0.67517512585392625</v>
      </c>
    </row>
    <row r="109" spans="2:5">
      <c r="B109" s="254" t="s">
        <v>159</v>
      </c>
      <c r="C109" s="254"/>
      <c r="D109" s="254"/>
      <c r="E109" s="87">
        <f>AVERAGE(E106:E108)</f>
        <v>0.67206938976827979</v>
      </c>
    </row>
    <row r="110" spans="2:5">
      <c r="B110" s="134" t="s">
        <v>149</v>
      </c>
      <c r="C110" s="135"/>
      <c r="D110" s="135"/>
      <c r="E110" s="136"/>
    </row>
    <row r="111" spans="2:5">
      <c r="B111" s="134"/>
      <c r="C111" s="135"/>
      <c r="D111" s="135"/>
      <c r="E111" s="136"/>
    </row>
    <row r="112" spans="2:5">
      <c r="B112" s="134"/>
      <c r="C112" s="135"/>
      <c r="D112" s="135"/>
      <c r="E112" s="136"/>
    </row>
    <row r="114" spans="2:5">
      <c r="B114" s="85" t="s">
        <v>101</v>
      </c>
    </row>
    <row r="115" spans="2:5">
      <c r="B115" s="270" t="s">
        <v>99</v>
      </c>
      <c r="C115" s="253" t="s">
        <v>117</v>
      </c>
      <c r="D115" s="253" t="s">
        <v>130</v>
      </c>
      <c r="E115" s="253" t="s">
        <v>94</v>
      </c>
    </row>
    <row r="116" spans="2:5" ht="46.5" customHeight="1">
      <c r="B116" s="270"/>
      <c r="C116" s="253"/>
      <c r="D116" s="253"/>
      <c r="E116" s="253"/>
    </row>
    <row r="117" spans="2:5">
      <c r="B117" s="65" t="s">
        <v>2</v>
      </c>
      <c r="C117" s="65">
        <v>760</v>
      </c>
      <c r="D117" s="82">
        <f t="shared" ref="D117:D135" si="6">H23</f>
        <v>2707020</v>
      </c>
      <c r="E117" s="74"/>
    </row>
    <row r="118" spans="2:5">
      <c r="B118" s="65" t="s">
        <v>3</v>
      </c>
      <c r="C118" s="65">
        <v>578.4</v>
      </c>
      <c r="D118" s="82">
        <f t="shared" si="6"/>
        <v>2794976</v>
      </c>
      <c r="E118" s="61"/>
    </row>
    <row r="119" spans="2:5">
      <c r="B119" s="65" t="s">
        <v>4</v>
      </c>
      <c r="C119" s="65">
        <v>600</v>
      </c>
      <c r="D119" s="82">
        <f t="shared" si="6"/>
        <v>1941344</v>
      </c>
      <c r="E119" s="61"/>
    </row>
    <row r="120" spans="2:5">
      <c r="B120" s="65" t="s">
        <v>139</v>
      </c>
      <c r="C120" s="149" t="s">
        <v>151</v>
      </c>
      <c r="D120" s="82">
        <f t="shared" si="6"/>
        <v>0</v>
      </c>
      <c r="E120" s="61"/>
    </row>
    <row r="121" spans="2:5">
      <c r="B121" s="65" t="s">
        <v>5</v>
      </c>
      <c r="C121" s="65">
        <v>1320</v>
      </c>
      <c r="D121" s="82">
        <f t="shared" si="6"/>
        <v>4381563.59</v>
      </c>
      <c r="E121" s="61"/>
    </row>
    <row r="122" spans="2:5">
      <c r="B122" s="65" t="s">
        <v>6</v>
      </c>
      <c r="C122" s="65">
        <v>1020</v>
      </c>
      <c r="D122" s="82">
        <f t="shared" si="6"/>
        <v>728977</v>
      </c>
      <c r="E122" s="61"/>
    </row>
    <row r="123" spans="2:5">
      <c r="B123" s="65" t="s">
        <v>7</v>
      </c>
      <c r="C123" s="65">
        <v>931.6</v>
      </c>
      <c r="D123" s="82">
        <f t="shared" si="6"/>
        <v>312271.59999999998</v>
      </c>
      <c r="E123" s="61"/>
    </row>
    <row r="124" spans="2:5">
      <c r="B124" s="65" t="s">
        <v>8</v>
      </c>
      <c r="C124" s="65">
        <v>882</v>
      </c>
      <c r="D124" s="82">
        <f t="shared" si="6"/>
        <v>1510988</v>
      </c>
      <c r="E124" s="61"/>
    </row>
    <row r="125" spans="2:5">
      <c r="B125" s="65" t="s">
        <v>9</v>
      </c>
      <c r="C125" s="65">
        <v>302</v>
      </c>
      <c r="D125" s="82">
        <f t="shared" si="6"/>
        <v>1846701.9</v>
      </c>
      <c r="E125" s="61"/>
    </row>
    <row r="126" spans="2:5">
      <c r="B126" s="65" t="s">
        <v>10</v>
      </c>
      <c r="C126" s="65"/>
      <c r="D126" s="82">
        <f t="shared" si="6"/>
        <v>0</v>
      </c>
      <c r="E126" s="61"/>
    </row>
    <row r="127" spans="2:5">
      <c r="B127" s="65" t="s">
        <v>11</v>
      </c>
      <c r="C127" s="65"/>
      <c r="D127" s="82">
        <f t="shared" si="6"/>
        <v>0</v>
      </c>
      <c r="E127" s="61"/>
    </row>
    <row r="128" spans="2:5">
      <c r="B128" s="65" t="s">
        <v>12</v>
      </c>
      <c r="C128" s="65"/>
      <c r="D128" s="82">
        <f t="shared" si="6"/>
        <v>0</v>
      </c>
      <c r="E128" s="61"/>
    </row>
    <row r="129" spans="2:5">
      <c r="B129" s="88" t="s">
        <v>13</v>
      </c>
      <c r="C129" s="88">
        <v>450</v>
      </c>
      <c r="D129" s="92">
        <f t="shared" si="6"/>
        <v>2708671</v>
      </c>
      <c r="E129" s="93"/>
    </row>
    <row r="130" spans="2:5">
      <c r="B130" s="88" t="s">
        <v>14</v>
      </c>
      <c r="C130" s="88">
        <v>110</v>
      </c>
      <c r="D130" s="92">
        <f t="shared" si="6"/>
        <v>30344</v>
      </c>
      <c r="E130" s="93"/>
    </row>
    <row r="131" spans="2:5">
      <c r="B131" s="88" t="s">
        <v>142</v>
      </c>
      <c r="C131" s="88"/>
      <c r="D131" s="92">
        <f t="shared" si="6"/>
        <v>297580.26</v>
      </c>
      <c r="E131" s="94">
        <v>2006</v>
      </c>
    </row>
    <row r="132" spans="2:5">
      <c r="B132" s="88" t="s">
        <v>15</v>
      </c>
      <c r="C132" s="88">
        <v>335</v>
      </c>
      <c r="D132" s="92">
        <f t="shared" si="6"/>
        <v>491852.3</v>
      </c>
      <c r="E132" s="94">
        <v>2007</v>
      </c>
    </row>
    <row r="133" spans="2:5">
      <c r="B133" s="88" t="s">
        <v>16</v>
      </c>
      <c r="C133" s="88">
        <v>414</v>
      </c>
      <c r="D133" s="92">
        <f t="shared" si="6"/>
        <v>995874.58</v>
      </c>
      <c r="E133" s="94">
        <v>2007</v>
      </c>
    </row>
    <row r="134" spans="2:5">
      <c r="B134" s="88" t="s">
        <v>17</v>
      </c>
      <c r="C134" s="88">
        <v>335</v>
      </c>
      <c r="D134" s="92">
        <f t="shared" si="6"/>
        <v>418545.88</v>
      </c>
      <c r="E134" s="94">
        <v>2007</v>
      </c>
    </row>
    <row r="135" spans="2:5">
      <c r="B135" s="88" t="s">
        <v>18</v>
      </c>
      <c r="C135" s="88">
        <v>331.5</v>
      </c>
      <c r="D135" s="92">
        <f t="shared" si="6"/>
        <v>142388.78</v>
      </c>
      <c r="E135" s="94">
        <v>2008</v>
      </c>
    </row>
    <row r="136" spans="2:5">
      <c r="B136" s="248" t="s">
        <v>75</v>
      </c>
      <c r="C136" s="249"/>
      <c r="D136" s="82">
        <f>SUM(D117:D135)</f>
        <v>21309098.890000001</v>
      </c>
    </row>
    <row r="137" spans="2:5">
      <c r="B137" s="255" t="s">
        <v>131</v>
      </c>
      <c r="C137" s="256"/>
      <c r="D137" s="82">
        <f>SUM(D131:D135)</f>
        <v>2346241.7999999998</v>
      </c>
    </row>
    <row r="138" spans="2:5">
      <c r="B138" s="255" t="s">
        <v>152</v>
      </c>
      <c r="C138" s="256"/>
      <c r="D138" s="151">
        <f>D137/D136</f>
        <v>0.11010516268714916</v>
      </c>
    </row>
    <row r="139" spans="2:5">
      <c r="B139" s="255" t="s">
        <v>153</v>
      </c>
      <c r="C139" s="256"/>
      <c r="D139" s="150">
        <f>SUM(D130:D135)</f>
        <v>2376585.7999999998</v>
      </c>
    </row>
    <row r="140" spans="2:5">
      <c r="B140" s="255" t="s">
        <v>154</v>
      </c>
      <c r="C140" s="256"/>
      <c r="D140" s="151">
        <f>D139/D136</f>
        <v>0.11152915532788162</v>
      </c>
    </row>
    <row r="141" spans="2:5">
      <c r="B141" s="255" t="s">
        <v>155</v>
      </c>
      <c r="C141" s="256"/>
      <c r="D141" s="150">
        <f>SUM(D129:D135)</f>
        <v>5085256.8</v>
      </c>
    </row>
    <row r="142" spans="2:5">
      <c r="B142" s="255" t="s">
        <v>156</v>
      </c>
      <c r="C142" s="256"/>
      <c r="D142" s="151">
        <f>D141/D136</f>
        <v>0.23864250789067504</v>
      </c>
    </row>
    <row r="143" spans="2:5">
      <c r="B143" s="134" t="s">
        <v>157</v>
      </c>
    </row>
    <row r="144" spans="2:5">
      <c r="B144" s="134"/>
    </row>
    <row r="145" spans="2:8">
      <c r="B145" s="134"/>
    </row>
    <row r="146" spans="2:8">
      <c r="B146" s="134"/>
    </row>
    <row r="147" spans="2:8">
      <c r="B147" s="85" t="s">
        <v>102</v>
      </c>
    </row>
    <row r="148" spans="2:8">
      <c r="B148" s="257" t="s">
        <v>97</v>
      </c>
      <c r="C148" s="88" t="s">
        <v>98</v>
      </c>
      <c r="D148" s="88" t="s">
        <v>96</v>
      </c>
      <c r="E148" s="88" t="s">
        <v>80</v>
      </c>
      <c r="F148" s="88" t="s">
        <v>141</v>
      </c>
    </row>
    <row r="149" spans="2:8">
      <c r="B149" s="258"/>
      <c r="C149" s="88" t="s">
        <v>35</v>
      </c>
      <c r="D149" s="88" t="s">
        <v>34</v>
      </c>
      <c r="E149" s="88" t="s">
        <v>81</v>
      </c>
      <c r="F149" s="88" t="s">
        <v>81</v>
      </c>
    </row>
    <row r="150" spans="2:8">
      <c r="B150" s="81" t="s">
        <v>13</v>
      </c>
      <c r="C150" s="173" t="str">
        <f t="shared" ref="C150:C156" si="7">F67</f>
        <v>NA</v>
      </c>
      <c r="D150" s="67">
        <f t="shared" ref="D150:D156" si="8">H35</f>
        <v>2708671</v>
      </c>
      <c r="E150" s="153">
        <f>$E$7*3.6/$E$11</f>
        <v>0.5112911392405064</v>
      </c>
      <c r="F150" s="83">
        <f>(D150*E150+D151*E151+D152*E152+D153*E153+D154*E154+D155*E155+D156*E156)/SUM(D150:D156)</f>
        <v>0.57884498920965877</v>
      </c>
    </row>
    <row r="151" spans="2:8">
      <c r="B151" s="65" t="s">
        <v>14</v>
      </c>
      <c r="C151" s="173" t="str">
        <f t="shared" si="7"/>
        <v>NA</v>
      </c>
      <c r="D151" s="67">
        <f t="shared" si="8"/>
        <v>30344</v>
      </c>
      <c r="E151" s="153">
        <f>$E$7*3.6/$E$11</f>
        <v>0.5112911392405064</v>
      </c>
      <c r="F151" s="65"/>
      <c r="H151" s="84"/>
    </row>
    <row r="152" spans="2:8">
      <c r="B152" s="65" t="s">
        <v>158</v>
      </c>
      <c r="C152" s="173" t="str">
        <f t="shared" si="7"/>
        <v>NA</v>
      </c>
      <c r="D152" s="67">
        <f t="shared" si="8"/>
        <v>297580.26</v>
      </c>
      <c r="E152" s="153">
        <f>$E$7*3.6/$E$11</f>
        <v>0.5112911392405064</v>
      </c>
      <c r="F152" s="65"/>
      <c r="H152" s="84"/>
    </row>
    <row r="153" spans="2:8">
      <c r="B153" s="65" t="s">
        <v>15</v>
      </c>
      <c r="C153" s="68">
        <f t="shared" si="7"/>
        <v>5507.9448410000005</v>
      </c>
      <c r="D153" s="67">
        <f t="shared" si="8"/>
        <v>491852.3</v>
      </c>
      <c r="E153" s="83">
        <f>(C153*$C$16*$E$9*$E$5*$E$8)/D153</f>
        <v>0.68270863665374004</v>
      </c>
      <c r="F153" s="65"/>
    </row>
    <row r="154" spans="2:8">
      <c r="B154" s="65" t="s">
        <v>16</v>
      </c>
      <c r="C154" s="68">
        <f t="shared" si="7"/>
        <v>11475.779667000001</v>
      </c>
      <c r="D154" s="67">
        <f t="shared" si="8"/>
        <v>995874.58</v>
      </c>
      <c r="E154" s="83">
        <f>(C154*$C$16*$E$9*$E$5*$E$8)/D154</f>
        <v>0.70251900153171665</v>
      </c>
      <c r="F154" s="65"/>
    </row>
    <row r="155" spans="2:8">
      <c r="B155" s="65" t="s">
        <v>17</v>
      </c>
      <c r="C155" s="68">
        <f t="shared" si="7"/>
        <v>4638.3409240000001</v>
      </c>
      <c r="D155" s="67">
        <f t="shared" si="8"/>
        <v>418545.88</v>
      </c>
      <c r="E155" s="83">
        <f>(C155*$C$16*$E$9*$E$5*$E$8)/D155</f>
        <v>0.67561629641398602</v>
      </c>
      <c r="F155" s="65"/>
    </row>
    <row r="156" spans="2:8">
      <c r="B156" s="65" t="s">
        <v>18</v>
      </c>
      <c r="C156" s="173" t="str">
        <f t="shared" si="7"/>
        <v>NA</v>
      </c>
      <c r="D156" s="67">
        <f t="shared" si="8"/>
        <v>142388.78</v>
      </c>
      <c r="E156" s="153">
        <f>$E$7*3.6/$E$11</f>
        <v>0.5112911392405064</v>
      </c>
      <c r="F156" s="65"/>
    </row>
    <row r="157" spans="2:8">
      <c r="B157" s="137"/>
      <c r="C157" s="138"/>
      <c r="D157" s="139"/>
      <c r="E157" s="140"/>
      <c r="F157" s="137"/>
    </row>
    <row r="159" spans="2:8">
      <c r="B159" s="77" t="s">
        <v>103</v>
      </c>
    </row>
    <row r="160" spans="2:8">
      <c r="B160" s="248" t="s">
        <v>84</v>
      </c>
      <c r="C160" s="249"/>
      <c r="D160" s="65" t="s">
        <v>81</v>
      </c>
      <c r="E160" s="72">
        <f>E109</f>
        <v>0.67206938976827979</v>
      </c>
    </row>
    <row r="161" spans="2:5">
      <c r="B161" s="248" t="s">
        <v>85</v>
      </c>
      <c r="C161" s="249"/>
      <c r="D161" s="65" t="s">
        <v>81</v>
      </c>
      <c r="E161" s="72">
        <f>F150</f>
        <v>0.57884498920965877</v>
      </c>
    </row>
    <row r="162" spans="2:5">
      <c r="B162" s="248" t="s">
        <v>86</v>
      </c>
      <c r="C162" s="249"/>
      <c r="D162" s="61" t="s">
        <v>95</v>
      </c>
      <c r="E162" s="73">
        <v>0.5</v>
      </c>
    </row>
    <row r="163" spans="2:5">
      <c r="B163" s="248" t="s">
        <v>87</v>
      </c>
      <c r="C163" s="249"/>
      <c r="D163" s="61" t="s">
        <v>95</v>
      </c>
      <c r="E163" s="73">
        <v>0.5</v>
      </c>
    </row>
    <row r="164" spans="2:5">
      <c r="B164" s="248" t="s">
        <v>88</v>
      </c>
      <c r="C164" s="249"/>
      <c r="D164" s="65" t="s">
        <v>81</v>
      </c>
      <c r="E164" s="90">
        <f>E162*E160+E163*E161</f>
        <v>0.62545718948896933</v>
      </c>
    </row>
    <row r="165" spans="2:5">
      <c r="B165" s="135"/>
      <c r="C165" s="135"/>
      <c r="D165" s="137"/>
      <c r="E165" s="141"/>
    </row>
  </sheetData>
  <mergeCells count="54">
    <mergeCell ref="B107:D107"/>
    <mergeCell ref="I21:I22"/>
    <mergeCell ref="C115:C116"/>
    <mergeCell ref="B55:B58"/>
    <mergeCell ref="B59:B65"/>
    <mergeCell ref="E115:E116"/>
    <mergeCell ref="B3:C3"/>
    <mergeCell ref="B108:D108"/>
    <mergeCell ref="C79:E79"/>
    <mergeCell ref="B79:B80"/>
    <mergeCell ref="B8:C8"/>
    <mergeCell ref="B6:C6"/>
    <mergeCell ref="B105:D105"/>
    <mergeCell ref="B106:D106"/>
    <mergeCell ref="B9:C9"/>
    <mergeCell ref="B7:C7"/>
    <mergeCell ref="B102:D102"/>
    <mergeCell ref="D21:H21"/>
    <mergeCell ref="B5:C5"/>
    <mergeCell ref="B4:C4"/>
    <mergeCell ref="D53:F53"/>
    <mergeCell ref="B53:B54"/>
    <mergeCell ref="B164:C164"/>
    <mergeCell ref="B10:C10"/>
    <mergeCell ref="B42:C42"/>
    <mergeCell ref="B100:D100"/>
    <mergeCell ref="B45:C45"/>
    <mergeCell ref="B46:C46"/>
    <mergeCell ref="B160:C160"/>
    <mergeCell ref="B161:C161"/>
    <mergeCell ref="B67:B73"/>
    <mergeCell ref="B101:D101"/>
    <mergeCell ref="B163:C163"/>
    <mergeCell ref="B43:C43"/>
    <mergeCell ref="B44:C44"/>
    <mergeCell ref="B139:C139"/>
    <mergeCell ref="B140:C140"/>
    <mergeCell ref="B141:C141"/>
    <mergeCell ref="B162:C162"/>
    <mergeCell ref="C21:C22"/>
    <mergeCell ref="B23:B26"/>
    <mergeCell ref="B27:B41"/>
    <mergeCell ref="D115:D116"/>
    <mergeCell ref="B104:D104"/>
    <mergeCell ref="B136:C136"/>
    <mergeCell ref="B137:C137"/>
    <mergeCell ref="B138:C138"/>
    <mergeCell ref="B103:D103"/>
    <mergeCell ref="B148:B149"/>
    <mergeCell ref="B142:C142"/>
    <mergeCell ref="C53:C54"/>
    <mergeCell ref="B21:B22"/>
    <mergeCell ref="B109:D109"/>
    <mergeCell ref="B115:B116"/>
  </mergeCells>
  <phoneticPr fontId="33" type="noConversion"/>
  <hyperlinks>
    <hyperlink ref="F10" r:id="rId1" display="http://www.simetric.co.uk.htm/"/>
  </hyperlinks>
  <pageMargins left="0.7" right="0.7" top="0.75" bottom="0.75" header="0.3" footer="0.3"/>
  <pageSetup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Emission Factor Calculation</vt:lpstr>
      <vt:lpstr>Emission Reduction Calculation</vt:lpstr>
      <vt:lpstr>PDD Tables</vt:lpstr>
    </vt:vector>
  </TitlesOfParts>
  <Company>The World Bank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WB263566</dc:creator>
  <cp:lastModifiedBy>Sunil Kathuria</cp:lastModifiedBy>
  <dcterms:created xsi:type="dcterms:W3CDTF">2009-11-22T23:46:40Z</dcterms:created>
  <dcterms:modified xsi:type="dcterms:W3CDTF">2012-12-31T02:45:00Z</dcterms:modified>
</cp:coreProperties>
</file>