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firstSheet="1" activeTab="1"/>
  </bookViews>
  <sheets>
    <sheet name="stratified random sampling (2)" sheetId="4" state="hidden" r:id="rId1"/>
    <sheet name="Cover Page" sheetId="14" r:id="rId2"/>
    <sheet name="lppd-mean" sheetId="6" r:id="rId3"/>
    <sheet name="n-mean" sheetId="9" r:id="rId4"/>
    <sheet name="FRAC oc" sheetId="11" r:id="rId5"/>
    <sheet name="FRAC pdn" sheetId="12" r:id="rId6"/>
    <sheet name="Water Quality" sheetId="13" r:id="rId7"/>
  </sheets>
  <calcPr calcId="125725"/>
</workbook>
</file>

<file path=xl/calcChain.xml><?xml version="1.0" encoding="utf-8"?>
<calcChain xmlns="http://schemas.openxmlformats.org/spreadsheetml/2006/main">
  <c r="B5" i="13"/>
  <c r="B6"/>
  <c r="B7"/>
  <c r="B8"/>
  <c r="B4"/>
  <c r="B5" i="12"/>
  <c r="B6"/>
  <c r="B7"/>
  <c r="B8"/>
  <c r="B4"/>
  <c r="C7" s="1"/>
  <c r="D7" s="1"/>
  <c r="B5" i="11"/>
  <c r="B6"/>
  <c r="B7"/>
  <c r="B8"/>
  <c r="B4"/>
  <c r="B5" i="9"/>
  <c r="B6"/>
  <c r="B7"/>
  <c r="B8"/>
  <c r="B4"/>
  <c r="B17" i="6"/>
  <c r="B18"/>
  <c r="C25"/>
  <c r="B13"/>
  <c r="F4" i="11"/>
  <c r="B16" i="6"/>
  <c r="B15"/>
  <c r="C27" i="13"/>
  <c r="C25"/>
  <c r="C21"/>
  <c r="F8"/>
  <c r="F7"/>
  <c r="F6"/>
  <c r="F5"/>
  <c r="F4"/>
  <c r="C27" i="12"/>
  <c r="C21"/>
  <c r="C25" s="1"/>
  <c r="F8"/>
  <c r="F7"/>
  <c r="F6"/>
  <c r="F5"/>
  <c r="F4"/>
  <c r="F5" i="9"/>
  <c r="C27" i="11"/>
  <c r="C21"/>
  <c r="C25" s="1"/>
  <c r="F8"/>
  <c r="F7"/>
  <c r="F6"/>
  <c r="F5"/>
  <c r="C7" i="13" l="1"/>
  <c r="D7" s="1"/>
  <c r="H7" s="1"/>
  <c r="C4"/>
  <c r="D4" s="1"/>
  <c r="C6"/>
  <c r="D6" s="1"/>
  <c r="C8"/>
  <c r="D8" s="1"/>
  <c r="C5"/>
  <c r="D5" s="1"/>
  <c r="H7" i="12"/>
  <c r="G7"/>
  <c r="C4"/>
  <c r="D4" s="1"/>
  <c r="C6"/>
  <c r="D6" s="1"/>
  <c r="C8"/>
  <c r="D8" s="1"/>
  <c r="C5"/>
  <c r="D5" s="1"/>
  <c r="C7" i="11"/>
  <c r="D7" s="1"/>
  <c r="H7" s="1"/>
  <c r="C6"/>
  <c r="D6" s="1"/>
  <c r="C8"/>
  <c r="D8" s="1"/>
  <c r="C4"/>
  <c r="D4" s="1"/>
  <c r="C5"/>
  <c r="D5" s="1"/>
  <c r="G7" i="13" l="1"/>
  <c r="H8"/>
  <c r="G8"/>
  <c r="G5"/>
  <c r="H5"/>
  <c r="G4"/>
  <c r="D9"/>
  <c r="H4"/>
  <c r="H6"/>
  <c r="G6"/>
  <c r="H8" i="12"/>
  <c r="G8"/>
  <c r="H5"/>
  <c r="G5"/>
  <c r="D9"/>
  <c r="G4"/>
  <c r="H4"/>
  <c r="H6"/>
  <c r="G6"/>
  <c r="G7" i="11"/>
  <c r="D9"/>
  <c r="H4"/>
  <c r="G4"/>
  <c r="H5"/>
  <c r="G5"/>
  <c r="G6"/>
  <c r="H6"/>
  <c r="H8"/>
  <c r="G8"/>
  <c r="B15" i="13" l="1"/>
  <c r="C26" s="1"/>
  <c r="B18"/>
  <c r="B17"/>
  <c r="B15" i="12"/>
  <c r="C26" s="1"/>
  <c r="B18"/>
  <c r="B17"/>
  <c r="B18" i="11"/>
  <c r="B15"/>
  <c r="C26" s="1"/>
  <c r="B17"/>
  <c r="F6" i="9"/>
  <c r="F4"/>
  <c r="C29"/>
  <c r="C23"/>
  <c r="C27" s="1"/>
  <c r="C8"/>
  <c r="D8" s="1"/>
  <c r="C7"/>
  <c r="D7" s="1"/>
  <c r="C6"/>
  <c r="D6" s="1"/>
  <c r="C5"/>
  <c r="D5" s="1"/>
  <c r="C4"/>
  <c r="D4" s="1"/>
  <c r="C27" i="6"/>
  <c r="C21"/>
  <c r="C8"/>
  <c r="D8" s="1"/>
  <c r="C7"/>
  <c r="D7" s="1"/>
  <c r="C6"/>
  <c r="D6" s="1"/>
  <c r="C5"/>
  <c r="D5" s="1"/>
  <c r="C4"/>
  <c r="D4" s="1"/>
  <c r="B16" i="12" l="1"/>
  <c r="B13" s="1"/>
  <c r="B11" s="1"/>
  <c r="K8" s="1"/>
  <c r="B16" i="13"/>
  <c r="B13" s="1"/>
  <c r="B11" s="1"/>
  <c r="K4" s="1"/>
  <c r="B16" i="11"/>
  <c r="B13" s="1"/>
  <c r="B11" s="1"/>
  <c r="D9" i="9"/>
  <c r="D9" i="6"/>
  <c r="K7" i="12" l="1"/>
  <c r="K6"/>
  <c r="K4"/>
  <c r="K5"/>
  <c r="K8" i="13"/>
  <c r="K5"/>
  <c r="K7"/>
  <c r="K6"/>
  <c r="K7" i="11"/>
  <c r="K8"/>
  <c r="K6"/>
  <c r="K5"/>
  <c r="K4"/>
  <c r="B16" i="9"/>
  <c r="B18" l="1"/>
  <c r="B17" s="1"/>
  <c r="B19"/>
  <c r="C28"/>
  <c r="C26" i="6"/>
  <c r="B14" i="9" l="1"/>
  <c r="B12" s="1"/>
  <c r="B11" i="6"/>
  <c r="H4" s="1"/>
  <c r="B13" i="4"/>
  <c r="C23"/>
  <c r="C22"/>
  <c r="C21"/>
  <c r="C17"/>
  <c r="F16"/>
  <c r="B12"/>
  <c r="H5" i="9" l="1"/>
  <c r="H4"/>
  <c r="H7"/>
  <c r="H6"/>
  <c r="H8"/>
  <c r="H6" i="6"/>
  <c r="H8"/>
  <c r="H5"/>
  <c r="H7"/>
  <c r="D9" i="4"/>
  <c r="B11" s="1"/>
  <c r="B15" l="1"/>
</calcChain>
</file>

<file path=xl/sharedStrings.xml><?xml version="1.0" encoding="utf-8"?>
<sst xmlns="http://schemas.openxmlformats.org/spreadsheetml/2006/main" count="175" uniqueCount="63">
  <si>
    <t>n</t>
  </si>
  <si>
    <t>N</t>
  </si>
  <si>
    <t>Confidence level</t>
  </si>
  <si>
    <t>Z value</t>
  </si>
  <si>
    <t>z square</t>
  </si>
  <si>
    <t>N-1</t>
  </si>
  <si>
    <t>Precision</t>
  </si>
  <si>
    <t>precision square</t>
  </si>
  <si>
    <t>Corrected Sample Size</t>
  </si>
  <si>
    <t>non responsive rate</t>
  </si>
  <si>
    <t>District</t>
  </si>
  <si>
    <t>Number of filters in districts</t>
  </si>
  <si>
    <t>Mean (lppd)</t>
  </si>
  <si>
    <t>Mean (no of people serviced by each filter)</t>
  </si>
  <si>
    <t>Standard deviation</t>
  </si>
  <si>
    <t>Total households</t>
  </si>
  <si>
    <t>%</t>
  </si>
  <si>
    <t>B Sunam</t>
  </si>
  <si>
    <t>A Chandpur</t>
  </si>
  <si>
    <t>C Noa</t>
  </si>
  <si>
    <t>D Comilla</t>
  </si>
  <si>
    <t>E Gopal</t>
  </si>
  <si>
    <r>
      <t>SD</t>
    </r>
    <r>
      <rPr>
        <vertAlign val="superscript"/>
        <sz val="11"/>
        <color theme="1"/>
        <rFont val="Calibri"/>
        <family val="2"/>
        <scheme val="minor"/>
      </rPr>
      <t>2</t>
    </r>
  </si>
  <si>
    <t>Mean</t>
  </si>
  <si>
    <t>V</t>
  </si>
  <si>
    <t>SD</t>
  </si>
  <si>
    <t>lppd</t>
  </si>
  <si>
    <t>Required Sample per district</t>
  </si>
  <si>
    <t>Number of households received WPS</t>
  </si>
  <si>
    <t>g*p*(1-p)</t>
  </si>
  <si>
    <t>g*p</t>
  </si>
  <si>
    <t>1-p</t>
  </si>
  <si>
    <t>Proportion of WPS still in operation in district (p)</t>
  </si>
  <si>
    <t>p</t>
  </si>
  <si>
    <t>Proportion of WPS still do not access to SDW supplied by PDN (p)</t>
  </si>
  <si>
    <t>** Source:  BRAC WASH Data</t>
  </si>
  <si>
    <t>Number of WPS deployed</t>
  </si>
  <si>
    <t>Proportion of WPS in compliance with water quality standards (p)</t>
  </si>
  <si>
    <t>* Source: 2011 Population &amp; Housing Census: Preliminary Results www.bbs.gov.bd/.../userfiles/.../PHC2011Preliminary%20Result.pdf</t>
  </si>
  <si>
    <t>Total households*</t>
  </si>
  <si>
    <t>Mean (lppd)**</t>
  </si>
  <si>
    <t>Standard deviation**</t>
  </si>
  <si>
    <t>FRAC oc</t>
  </si>
  <si>
    <t>FRAC pdn</t>
  </si>
  <si>
    <t>Water Quality</t>
  </si>
  <si>
    <t>A</t>
  </si>
  <si>
    <t>B</t>
  </si>
  <si>
    <t>C</t>
  </si>
  <si>
    <t>D</t>
  </si>
  <si>
    <t>E</t>
  </si>
  <si>
    <t>Sample Size Equation</t>
  </si>
  <si>
    <t>PoA Title</t>
  </si>
  <si>
    <t>Energy Efficiency Program in Rural Bangladesh</t>
  </si>
  <si>
    <t>Methodolgy      Applied</t>
  </si>
  <si>
    <t xml:space="preserve">AMS-III.AV ,Version 03 : Low greenhouse gas emitting safe drinking water production systems </t>
  </si>
  <si>
    <t>CME</t>
  </si>
  <si>
    <t>BRAC Impact Ventures Ltd.                                                                                                                       Javed Bin Karim, Chief Executive Officer                                                                                            Email: javed@bracivl.com</t>
  </si>
  <si>
    <t>CDM              Consultant</t>
  </si>
  <si>
    <t>Shaymal Barman                                                                                                                                           Email: shaymal.barman@bracepl.com                                                                                                                                                                BRAC EPL Investments Ltd.                                                                                                                  www.bracepl.com</t>
  </si>
  <si>
    <t xml:space="preserve"> Version           and date of the document</t>
  </si>
  <si>
    <t>Sample Size Calculation equation</t>
  </si>
  <si>
    <t>Sample size Calculation equation</t>
  </si>
  <si>
    <t>Version 02 , Date: 14/05/2013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</si>
</sst>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_);_(* \(#,##0.000\);_(* &quot;-&quot;??_);_(@_)"/>
    <numFmt numFmtId="167" formatCode="_(* #,##0.00000000000_);_(* \(#,##0.00000000000\);_(* &quot;-&quot;??_);_(@_)"/>
    <numFmt numFmtId="168" formatCode="0.000"/>
    <numFmt numFmtId="169" formatCode="0.0000"/>
    <numFmt numFmtId="170" formatCode="_(* #,##0.0000_);_(* \(#,##0.000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i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0" fillId="2" borderId="0" xfId="0" applyFill="1"/>
    <xf numFmtId="9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5" fontId="0" fillId="0" borderId="0" xfId="1" applyNumberFormat="1" applyFont="1"/>
    <xf numFmtId="165" fontId="0" fillId="0" borderId="0" xfId="0" applyNumberFormat="1"/>
    <xf numFmtId="43" fontId="0" fillId="0" borderId="0" xfId="0" applyNumberFormat="1"/>
    <xf numFmtId="166" fontId="0" fillId="0" borderId="0" xfId="0" applyNumberFormat="1"/>
    <xf numFmtId="167" fontId="0" fillId="0" borderId="0" xfId="0" applyNumberFormat="1"/>
    <xf numFmtId="2" fontId="0" fillId="3" borderId="0" xfId="0" applyNumberFormat="1" applyFill="1"/>
    <xf numFmtId="0" fontId="0" fillId="3" borderId="0" xfId="0" applyFill="1"/>
    <xf numFmtId="9" fontId="0" fillId="3" borderId="0" xfId="0" applyNumberFormat="1" applyFill="1"/>
    <xf numFmtId="169" fontId="0" fillId="3" borderId="0" xfId="0" applyNumberFormat="1" applyFill="1"/>
    <xf numFmtId="165" fontId="0" fillId="3" borderId="0" xfId="0" applyNumberFormat="1" applyFill="1"/>
    <xf numFmtId="0" fontId="0" fillId="3" borderId="9" xfId="0" applyFill="1" applyBorder="1" applyAlignment="1">
      <alignment vertical="center"/>
    </xf>
    <xf numFmtId="0" fontId="0" fillId="3" borderId="9" xfId="0" applyFill="1" applyBorder="1" applyAlignment="1">
      <alignment vertical="center" wrapText="1"/>
    </xf>
    <xf numFmtId="165" fontId="0" fillId="2" borderId="9" xfId="1" applyNumberFormat="1" applyFont="1" applyFill="1" applyBorder="1"/>
    <xf numFmtId="165" fontId="0" fillId="3" borderId="9" xfId="0" applyNumberFormat="1" applyFill="1" applyBorder="1"/>
    <xf numFmtId="0" fontId="0" fillId="2" borderId="9" xfId="0" applyFill="1" applyBorder="1"/>
    <xf numFmtId="0" fontId="0" fillId="2" borderId="9" xfId="0" applyFill="1" applyBorder="1" applyAlignment="1">
      <alignment wrapText="1"/>
    </xf>
    <xf numFmtId="0" fontId="0" fillId="3" borderId="0" xfId="0" applyFill="1" applyAlignment="1">
      <alignment wrapText="1"/>
    </xf>
    <xf numFmtId="1" fontId="0" fillId="5" borderId="0" xfId="0" applyNumberFormat="1" applyFill="1"/>
    <xf numFmtId="0" fontId="0" fillId="3" borderId="0" xfId="0" applyFill="1" applyBorder="1"/>
    <xf numFmtId="0" fontId="0" fillId="3" borderId="5" xfId="0" applyFill="1" applyBorder="1"/>
    <xf numFmtId="9" fontId="0" fillId="2" borderId="0" xfId="2" applyFont="1" applyFill="1" applyBorder="1"/>
    <xf numFmtId="0" fontId="0" fillId="3" borderId="4" xfId="0" applyFill="1" applyBorder="1"/>
    <xf numFmtId="165" fontId="0" fillId="3" borderId="0" xfId="0" applyNumberFormat="1" applyFill="1" applyBorder="1"/>
    <xf numFmtId="170" fontId="0" fillId="3" borderId="0" xfId="0" applyNumberFormat="1" applyFill="1" applyBorder="1"/>
    <xf numFmtId="166" fontId="0" fillId="3" borderId="0" xfId="0" applyNumberFormat="1" applyFill="1" applyBorder="1"/>
    <xf numFmtId="9" fontId="0" fillId="3" borderId="0" xfId="0" applyNumberFormat="1" applyFill="1" applyBorder="1"/>
    <xf numFmtId="43" fontId="0" fillId="3" borderId="0" xfId="0" applyNumberFormat="1" applyFill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2" xfId="0" applyFill="1" applyBorder="1"/>
    <xf numFmtId="164" fontId="0" fillId="3" borderId="0" xfId="0" applyNumberFormat="1" applyFill="1" applyBorder="1"/>
    <xf numFmtId="9" fontId="0" fillId="2" borderId="0" xfId="0" applyNumberFormat="1" applyFill="1" applyBorder="1"/>
    <xf numFmtId="0" fontId="0" fillId="3" borderId="9" xfId="0" applyFill="1" applyBorder="1" applyAlignment="1">
      <alignment horizontal="center" vertical="top" wrapText="1"/>
    </xf>
    <xf numFmtId="43" fontId="0" fillId="3" borderId="0" xfId="0" applyNumberFormat="1" applyFill="1" applyBorder="1"/>
    <xf numFmtId="168" fontId="0" fillId="3" borderId="0" xfId="0" applyNumberFormat="1" applyFill="1" applyBorder="1"/>
    <xf numFmtId="9" fontId="0" fillId="3" borderId="9" xfId="2" applyFont="1" applyFill="1" applyBorder="1"/>
    <xf numFmtId="165" fontId="4" fillId="6" borderId="9" xfId="0" applyNumberFormat="1" applyFont="1" applyFill="1" applyBorder="1" applyAlignment="1"/>
    <xf numFmtId="0" fontId="0" fillId="3" borderId="9" xfId="0" applyFill="1" applyBorder="1" applyAlignment="1">
      <alignment horizontal="center" vertical="center" wrapText="1"/>
    </xf>
    <xf numFmtId="165" fontId="0" fillId="2" borderId="9" xfId="0" applyNumberFormat="1" applyFill="1" applyBorder="1"/>
    <xf numFmtId="9" fontId="0" fillId="3" borderId="9" xfId="2" applyNumberFormat="1" applyFont="1" applyFill="1" applyBorder="1" applyAlignment="1">
      <alignment horizontal="center"/>
    </xf>
    <xf numFmtId="43" fontId="0" fillId="2" borderId="9" xfId="1" applyFont="1" applyFill="1" applyBorder="1"/>
    <xf numFmtId="43" fontId="0" fillId="2" borderId="9" xfId="1" applyFont="1" applyFill="1" applyBorder="1" applyAlignment="1">
      <alignment wrapText="1"/>
    </xf>
    <xf numFmtId="0" fontId="0" fillId="3" borderId="3" xfId="0" applyFill="1" applyBorder="1"/>
    <xf numFmtId="0" fontId="5" fillId="3" borderId="9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 wrapText="1"/>
    </xf>
    <xf numFmtId="0" fontId="6" fillId="3" borderId="13" xfId="0" applyFont="1" applyFill="1" applyBorder="1"/>
    <xf numFmtId="0" fontId="6" fillId="3" borderId="14" xfId="0" applyFont="1" applyFill="1" applyBorder="1"/>
    <xf numFmtId="0" fontId="6" fillId="3" borderId="15" xfId="0" applyFont="1" applyFill="1" applyBorder="1"/>
    <xf numFmtId="0" fontId="0" fillId="3" borderId="9" xfId="0" applyFill="1" applyBorder="1" applyAlignment="1">
      <alignment horizontal="center"/>
    </xf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7" fillId="3" borderId="19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0" fillId="3" borderId="19" xfId="0" applyFill="1" applyBorder="1" applyProtection="1">
      <protection locked="0"/>
    </xf>
    <xf numFmtId="0" fontId="7" fillId="3" borderId="19" xfId="0" applyFont="1" applyFill="1" applyBorder="1" applyAlignment="1" applyProtection="1">
      <alignment horizontal="center" vertical="center" wrapText="1"/>
      <protection locked="0"/>
    </xf>
    <xf numFmtId="0" fontId="10" fillId="8" borderId="13" xfId="0" applyNumberFormat="1" applyFont="1" applyFill="1" applyBorder="1" applyAlignment="1" applyProtection="1">
      <alignment horizontal="left" vertical="center" wrapText="1"/>
      <protection locked="0"/>
    </xf>
    <xf numFmtId="0" fontId="10" fillId="8" borderId="14" xfId="0" applyNumberFormat="1" applyFont="1" applyFill="1" applyBorder="1" applyAlignment="1" applyProtection="1">
      <alignment horizontal="left" vertical="center" wrapText="1"/>
      <protection locked="0"/>
    </xf>
    <xf numFmtId="0" fontId="10" fillId="8" borderId="15" xfId="0" applyNumberFormat="1" applyFont="1" applyFill="1" applyBorder="1" applyAlignment="1" applyProtection="1">
      <alignment horizontal="left" vertical="center" wrapText="1"/>
      <protection locked="0"/>
    </xf>
    <xf numFmtId="0" fontId="10" fillId="7" borderId="10" xfId="0" applyFont="1" applyFill="1" applyBorder="1" applyAlignment="1" applyProtection="1">
      <alignment horizontal="left" vertical="center" wrapText="1"/>
    </xf>
    <xf numFmtId="0" fontId="10" fillId="7" borderId="11" xfId="0" applyFont="1" applyFill="1" applyBorder="1" applyAlignment="1" applyProtection="1">
      <alignment horizontal="left" vertical="center" wrapText="1"/>
    </xf>
    <xf numFmtId="0" fontId="10" fillId="7" borderId="12" xfId="0" applyFont="1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center"/>
      <protection locked="0"/>
    </xf>
    <xf numFmtId="0" fontId="0" fillId="3" borderId="23" xfId="0" applyFill="1" applyBorder="1" applyAlignment="1" applyProtection="1">
      <alignment horizontal="center"/>
      <protection locked="0"/>
    </xf>
    <xf numFmtId="0" fontId="8" fillId="7" borderId="20" xfId="0" applyFont="1" applyFill="1" applyBorder="1" applyAlignment="1" applyProtection="1">
      <alignment horizontal="center" vertical="center" wrapText="1"/>
      <protection locked="0"/>
    </xf>
    <xf numFmtId="0" fontId="8" fillId="7" borderId="21" xfId="0" applyFont="1" applyFill="1" applyBorder="1" applyAlignment="1" applyProtection="1">
      <alignment horizontal="center" vertical="center" wrapText="1"/>
      <protection locked="0"/>
    </xf>
    <xf numFmtId="0" fontId="8" fillId="7" borderId="22" xfId="0" applyFont="1" applyFill="1" applyBorder="1" applyAlignment="1" applyProtection="1">
      <alignment horizontal="center" vertical="center" wrapText="1"/>
      <protection locked="0"/>
    </xf>
    <xf numFmtId="0" fontId="9" fillId="7" borderId="20" xfId="0" applyFont="1" applyFill="1" applyBorder="1" applyAlignment="1" applyProtection="1">
      <alignment horizontal="center" vertical="center" wrapText="1"/>
    </xf>
    <xf numFmtId="0" fontId="9" fillId="7" borderId="21" xfId="0" applyFont="1" applyFill="1" applyBorder="1" applyAlignment="1" applyProtection="1">
      <alignment horizontal="center" vertical="center" wrapText="1"/>
    </xf>
    <xf numFmtId="0" fontId="9" fillId="7" borderId="22" xfId="0" applyFont="1" applyFill="1" applyBorder="1" applyAlignment="1" applyProtection="1">
      <alignment horizontal="center" vertical="center" wrapText="1"/>
    </xf>
    <xf numFmtId="0" fontId="10" fillId="7" borderId="20" xfId="0" applyFont="1" applyFill="1" applyBorder="1" applyAlignment="1" applyProtection="1">
      <alignment horizontal="left" vertical="center" wrapText="1"/>
    </xf>
    <xf numFmtId="0" fontId="10" fillId="7" borderId="21" xfId="0" applyFont="1" applyFill="1" applyBorder="1" applyAlignment="1" applyProtection="1">
      <alignment horizontal="left" vertical="center" wrapText="1"/>
    </xf>
    <xf numFmtId="0" fontId="10" fillId="7" borderId="22" xfId="0" applyFont="1" applyFill="1" applyBorder="1" applyAlignment="1" applyProtection="1">
      <alignment horizontal="left" vertical="center" wrapText="1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3" borderId="12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352424</xdr:colOff>
      <xdr:row>1</xdr:row>
      <xdr:rowOff>276225</xdr:rowOff>
    </xdr:from>
    <xdr:to>
      <xdr:col>1</xdr:col>
      <xdr:colOff>1981199</xdr:colOff>
      <xdr:row>2</xdr:row>
      <xdr:rowOff>390525</xdr:rowOff>
    </xdr:to>
    <xdr:pic>
      <xdr:nvPicPr>
        <xdr:cNvPr id="2" name="Picture 1" descr="logo_final-02.jpg"/>
        <xdr:cNvPicPr/>
      </xdr:nvPicPr>
      <xdr:blipFill>
        <a:blip xmlns:r="http://schemas.openxmlformats.org/officeDocument/2006/relationships" r:embed="rId1" cstate="print"/>
        <a:srcRect l="8333" t="19659" r="59167" b="25726"/>
        <a:stretch>
          <a:fillRect/>
        </a:stretch>
      </xdr:blipFill>
      <xdr:spPr bwMode="auto">
        <a:xfrm>
          <a:off x="962024" y="276225"/>
          <a:ext cx="1628775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180975</xdr:colOff>
      <xdr:row>5</xdr:row>
      <xdr:rowOff>190500</xdr:rowOff>
    </xdr:from>
    <xdr:to>
      <xdr:col>1</xdr:col>
      <xdr:colOff>609600</xdr:colOff>
      <xdr:row>5</xdr:row>
      <xdr:rowOff>190500</xdr:rowOff>
    </xdr:to>
    <xdr:pic>
      <xdr:nvPicPr>
        <xdr:cNvPr id="3" name="Picture 2" descr="C:\Documents and Settings\Hanif\Desktop\BRAC-EPL-INVESTMENT-LOG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90575" y="3181350"/>
          <a:ext cx="2314575" cy="723900"/>
        </a:xfrm>
        <a:prstGeom prst="rect">
          <a:avLst/>
        </a:prstGeom>
        <a:solidFill>
          <a:schemeClr val="bg1">
            <a:alpha val="0"/>
          </a:schemeClr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104775</xdr:colOff>
      <xdr:row>5</xdr:row>
      <xdr:rowOff>104775</xdr:rowOff>
    </xdr:from>
    <xdr:to>
      <xdr:col>1</xdr:col>
      <xdr:colOff>2419350</xdr:colOff>
      <xdr:row>5</xdr:row>
      <xdr:rowOff>828675</xdr:rowOff>
    </xdr:to>
    <xdr:pic>
      <xdr:nvPicPr>
        <xdr:cNvPr id="4" name="Picture 3" descr="C:\Documents and Settings\Hanif\Desktop\BRAC-EPL-INVESTMENT-LOGO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14375" y="3286125"/>
          <a:ext cx="2314575" cy="723900"/>
        </a:xfrm>
        <a:prstGeom prst="rect">
          <a:avLst/>
        </a:prstGeom>
        <a:solidFill>
          <a:schemeClr val="bg1">
            <a:alpha val="0"/>
          </a:schemeClr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685800</xdr:colOff>
      <xdr:row>10</xdr:row>
      <xdr:rowOff>28575</xdr:rowOff>
    </xdr:from>
    <xdr:to>
      <xdr:col>11</xdr:col>
      <xdr:colOff>361950</xdr:colOff>
      <xdr:row>13</xdr:row>
      <xdr:rowOff>142875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19975" y="2371725"/>
          <a:ext cx="2276475" cy="68580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333375</xdr:colOff>
      <xdr:row>13</xdr:row>
      <xdr:rowOff>180975</xdr:rowOff>
    </xdr:from>
    <xdr:to>
      <xdr:col>10</xdr:col>
      <xdr:colOff>361950</xdr:colOff>
      <xdr:row>17</xdr:row>
      <xdr:rowOff>85725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39075" y="3095625"/>
          <a:ext cx="1247775" cy="6667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95250</xdr:colOff>
      <xdr:row>18</xdr:row>
      <xdr:rowOff>28575</xdr:rowOff>
    </xdr:from>
    <xdr:to>
      <xdr:col>19</xdr:col>
      <xdr:colOff>314325</xdr:colOff>
      <xdr:row>46</xdr:row>
      <xdr:rowOff>85725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600950" y="3895725"/>
          <a:ext cx="6924675" cy="56007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561975</xdr:colOff>
      <xdr:row>10</xdr:row>
      <xdr:rowOff>28575</xdr:rowOff>
    </xdr:from>
    <xdr:to>
      <xdr:col>10</xdr:col>
      <xdr:colOff>238125</xdr:colOff>
      <xdr:row>13</xdr:row>
      <xdr:rowOff>142875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0" y="2371725"/>
          <a:ext cx="2276475" cy="68580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504825</xdr:colOff>
      <xdr:row>13</xdr:row>
      <xdr:rowOff>123825</xdr:rowOff>
    </xdr:from>
    <xdr:to>
      <xdr:col>9</xdr:col>
      <xdr:colOff>371475</xdr:colOff>
      <xdr:row>17</xdr:row>
      <xdr:rowOff>28575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00950" y="3038475"/>
          <a:ext cx="1247775" cy="66675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438150</xdr:colOff>
      <xdr:row>17</xdr:row>
      <xdr:rowOff>161925</xdr:rowOff>
    </xdr:from>
    <xdr:to>
      <xdr:col>17</xdr:col>
      <xdr:colOff>495300</xdr:colOff>
      <xdr:row>47</xdr:row>
      <xdr:rowOff>47625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24675" y="3838575"/>
          <a:ext cx="6924675" cy="56007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19050</xdr:colOff>
      <xdr:row>10</xdr:row>
      <xdr:rowOff>152400</xdr:rowOff>
    </xdr:from>
    <xdr:to>
      <xdr:col>12</xdr:col>
      <xdr:colOff>304800</xdr:colOff>
      <xdr:row>14</xdr:row>
      <xdr:rowOff>76200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44075" y="2571750"/>
          <a:ext cx="2276475" cy="68580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552450</xdr:colOff>
      <xdr:row>14</xdr:row>
      <xdr:rowOff>152400</xdr:rowOff>
    </xdr:from>
    <xdr:to>
      <xdr:col>11</xdr:col>
      <xdr:colOff>419100</xdr:colOff>
      <xdr:row>18</xdr:row>
      <xdr:rowOff>57150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277475" y="3324225"/>
          <a:ext cx="1247775" cy="66675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171451</xdr:colOff>
      <xdr:row>18</xdr:row>
      <xdr:rowOff>47626</xdr:rowOff>
    </xdr:from>
    <xdr:to>
      <xdr:col>18</xdr:col>
      <xdr:colOff>400050</xdr:colOff>
      <xdr:row>35</xdr:row>
      <xdr:rowOff>161734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896476" y="3981451"/>
          <a:ext cx="5876924" cy="3352608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228600</xdr:colOff>
      <xdr:row>10</xdr:row>
      <xdr:rowOff>57150</xdr:rowOff>
    </xdr:from>
    <xdr:to>
      <xdr:col>12</xdr:col>
      <xdr:colOff>514350</xdr:colOff>
      <xdr:row>13</xdr:row>
      <xdr:rowOff>171450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53625" y="2466975"/>
          <a:ext cx="2276475" cy="68580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133350</xdr:colOff>
      <xdr:row>13</xdr:row>
      <xdr:rowOff>123825</xdr:rowOff>
    </xdr:from>
    <xdr:to>
      <xdr:col>12</xdr:col>
      <xdr:colOff>0</xdr:colOff>
      <xdr:row>17</xdr:row>
      <xdr:rowOff>28575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467975" y="3105150"/>
          <a:ext cx="1247775" cy="6667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523876</xdr:colOff>
      <xdr:row>17</xdr:row>
      <xdr:rowOff>180976</xdr:rowOff>
    </xdr:from>
    <xdr:to>
      <xdr:col>17</xdr:col>
      <xdr:colOff>561975</xdr:colOff>
      <xdr:row>35</xdr:row>
      <xdr:rowOff>104584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448801" y="3924301"/>
          <a:ext cx="5876924" cy="3352608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11</xdr:row>
      <xdr:rowOff>28575</xdr:rowOff>
    </xdr:from>
    <xdr:to>
      <xdr:col>13</xdr:col>
      <xdr:colOff>200025</xdr:colOff>
      <xdr:row>14</xdr:row>
      <xdr:rowOff>142875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67925" y="2809875"/>
          <a:ext cx="2276475" cy="68580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342900</xdr:colOff>
      <xdr:row>15</xdr:row>
      <xdr:rowOff>104775</xdr:rowOff>
    </xdr:from>
    <xdr:to>
      <xdr:col>12</xdr:col>
      <xdr:colOff>209550</xdr:colOff>
      <xdr:row>19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496550" y="3648075"/>
          <a:ext cx="1247775" cy="66675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38101</xdr:colOff>
      <xdr:row>19</xdr:row>
      <xdr:rowOff>66676</xdr:rowOff>
    </xdr:from>
    <xdr:to>
      <xdr:col>18</xdr:col>
      <xdr:colOff>266700</xdr:colOff>
      <xdr:row>36</xdr:row>
      <xdr:rowOff>180784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582151" y="4371976"/>
          <a:ext cx="5876924" cy="335260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23"/>
  <sheetViews>
    <sheetView workbookViewId="0">
      <selection activeCell="B12" sqref="B12"/>
    </sheetView>
  </sheetViews>
  <sheetFormatPr defaultRowHeight="15"/>
  <cols>
    <col min="1" max="1" width="11.28515625" customWidth="1"/>
    <col min="2" max="2" width="16.28515625" bestFit="1" customWidth="1"/>
    <col min="3" max="3" width="9" bestFit="1" customWidth="1"/>
    <col min="4" max="4" width="14" customWidth="1"/>
    <col min="5" max="5" width="11.85546875" bestFit="1" customWidth="1"/>
    <col min="6" max="6" width="11.85546875" customWidth="1"/>
  </cols>
  <sheetData>
    <row r="3" spans="1:6" ht="49.5" customHeight="1">
      <c r="A3" s="4" t="s">
        <v>10</v>
      </c>
      <c r="B3" s="4" t="s">
        <v>15</v>
      </c>
      <c r="C3" s="4" t="s">
        <v>16</v>
      </c>
      <c r="D3" s="5" t="s">
        <v>11</v>
      </c>
      <c r="E3" s="4" t="s">
        <v>12</v>
      </c>
      <c r="F3" s="5" t="s">
        <v>14</v>
      </c>
    </row>
    <row r="4" spans="1:6">
      <c r="A4" t="s">
        <v>18</v>
      </c>
      <c r="B4" s="6"/>
      <c r="C4" s="8"/>
      <c r="D4" s="7">
        <v>146050</v>
      </c>
      <c r="E4">
        <v>3.2</v>
      </c>
      <c r="F4" s="3">
        <v>1.9</v>
      </c>
    </row>
    <row r="5" spans="1:6">
      <c r="A5" t="s">
        <v>17</v>
      </c>
      <c r="B5" s="6"/>
      <c r="C5" s="8"/>
      <c r="D5" s="7">
        <v>104474</v>
      </c>
      <c r="E5">
        <v>2.4</v>
      </c>
      <c r="F5" s="3">
        <v>0.8</v>
      </c>
    </row>
    <row r="6" spans="1:6">
      <c r="A6" t="s">
        <v>19</v>
      </c>
      <c r="B6" s="6"/>
      <c r="C6" s="8"/>
      <c r="D6" s="7">
        <v>38239</v>
      </c>
      <c r="E6">
        <v>4.5</v>
      </c>
      <c r="F6" s="3">
        <v>1.6</v>
      </c>
    </row>
    <row r="7" spans="1:6">
      <c r="A7" t="s">
        <v>20</v>
      </c>
      <c r="B7" s="6"/>
      <c r="C7" s="8"/>
      <c r="D7" s="7">
        <v>74248</v>
      </c>
      <c r="E7">
        <v>1.6</v>
      </c>
      <c r="F7" s="3">
        <v>1.7</v>
      </c>
    </row>
    <row r="8" spans="1:6">
      <c r="A8" t="s">
        <v>21</v>
      </c>
      <c r="B8" s="6"/>
      <c r="C8" s="8"/>
      <c r="D8" s="7">
        <v>56989</v>
      </c>
      <c r="E8">
        <v>2.2999999999999998</v>
      </c>
      <c r="F8" s="3">
        <v>0.7</v>
      </c>
    </row>
    <row r="9" spans="1:6">
      <c r="D9" s="7">
        <f>SUM(D4:D8)</f>
        <v>420000</v>
      </c>
    </row>
    <row r="11" spans="1:6">
      <c r="A11" t="s">
        <v>1</v>
      </c>
      <c r="B11" s="7">
        <f>D9</f>
        <v>420000</v>
      </c>
    </row>
    <row r="12" spans="1:6" ht="17.25">
      <c r="A12" t="s">
        <v>22</v>
      </c>
      <c r="B12" s="10">
        <f xml:space="preserve"> (D4*F4*F4+D5*F5*F5+D6*F6*F6+D7*F7*F7+D8*F8*F8)/B11</f>
        <v>2.2249929285714285</v>
      </c>
    </row>
    <row r="13" spans="1:6">
      <c r="A13" t="s">
        <v>23</v>
      </c>
      <c r="B13" s="9">
        <f>(D4*E4+D5*E5+D6*E6+D7*E7+D8*E8)/D9</f>
        <v>2.714391904761905</v>
      </c>
    </row>
    <row r="15" spans="1:6">
      <c r="A15" t="s">
        <v>24</v>
      </c>
      <c r="B15">
        <f>B12/(B13*B13)</f>
        <v>0.30198372105161564</v>
      </c>
    </row>
    <row r="16" spans="1:6">
      <c r="A16" t="s">
        <v>6</v>
      </c>
      <c r="B16" s="2">
        <v>0.1</v>
      </c>
      <c r="C16" s="1">
        <v>0.1</v>
      </c>
      <c r="E16" t="s">
        <v>0</v>
      </c>
      <c r="F16" s="8">
        <f>C21*B11*B15/(C22*C23+C21*B15)</f>
        <v>81.701848035408503</v>
      </c>
    </row>
    <row r="17" spans="1:3">
      <c r="A17" t="s">
        <v>2</v>
      </c>
      <c r="B17" s="2">
        <v>0.9</v>
      </c>
      <c r="C17" s="1">
        <f>IF(B17=B18,C18,C19)</f>
        <v>1.645</v>
      </c>
    </row>
    <row r="18" spans="1:3">
      <c r="A18" t="s">
        <v>3</v>
      </c>
      <c r="B18" s="2">
        <v>0.9</v>
      </c>
      <c r="C18">
        <v>1.645</v>
      </c>
    </row>
    <row r="19" spans="1:3">
      <c r="B19" s="2">
        <v>0.95</v>
      </c>
    </row>
    <row r="21" spans="1:3">
      <c r="A21" t="s">
        <v>4</v>
      </c>
      <c r="C21">
        <f>C18*C18</f>
        <v>2.7060249999999999</v>
      </c>
    </row>
    <row r="22" spans="1:3">
      <c r="A22" t="s">
        <v>5</v>
      </c>
      <c r="C22" s="7">
        <f>B11-1</f>
        <v>419999</v>
      </c>
    </row>
    <row r="23" spans="1:3">
      <c r="A23" t="s">
        <v>7</v>
      </c>
      <c r="C23">
        <f>C16*C16</f>
        <v>1.0000000000000002E-2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L6"/>
  <sheetViews>
    <sheetView tabSelected="1" workbookViewId="0">
      <selection activeCell="M4" sqref="A1:XFD1048576"/>
    </sheetView>
  </sheetViews>
  <sheetFormatPr defaultRowHeight="15"/>
  <cols>
    <col min="1" max="1" width="9.140625" style="12"/>
    <col min="2" max="2" width="39.5703125" style="12" customWidth="1"/>
    <col min="3" max="3" width="17.5703125" style="12" customWidth="1"/>
    <col min="4" max="11" width="9.140625" style="12"/>
    <col min="12" max="12" width="18.42578125" style="12" customWidth="1"/>
    <col min="13" max="16384" width="9.140625" style="12"/>
  </cols>
  <sheetData>
    <row r="1" spans="2:12" ht="15.75" thickBot="1"/>
    <row r="2" spans="2:12" ht="72.75" customHeight="1" thickBot="1">
      <c r="B2" s="74"/>
      <c r="C2" s="64" t="s">
        <v>51</v>
      </c>
      <c r="D2" s="76" t="s">
        <v>52</v>
      </c>
      <c r="E2" s="77"/>
      <c r="F2" s="77"/>
      <c r="G2" s="77"/>
      <c r="H2" s="77"/>
      <c r="I2" s="77"/>
      <c r="J2" s="77"/>
      <c r="K2" s="77"/>
      <c r="L2" s="78"/>
    </row>
    <row r="3" spans="2:12" ht="54" customHeight="1" thickBot="1">
      <c r="B3" s="75"/>
      <c r="C3" s="65" t="s">
        <v>53</v>
      </c>
      <c r="D3" s="79" t="s">
        <v>54</v>
      </c>
      <c r="E3" s="80"/>
      <c r="F3" s="80"/>
      <c r="G3" s="80"/>
      <c r="H3" s="80"/>
      <c r="I3" s="80"/>
      <c r="J3" s="80"/>
      <c r="K3" s="80"/>
      <c r="L3" s="81"/>
    </row>
    <row r="4" spans="2:12" ht="65.25" customHeight="1" thickBot="1">
      <c r="B4" s="75"/>
      <c r="C4" s="64" t="s">
        <v>55</v>
      </c>
      <c r="D4" s="82" t="s">
        <v>56</v>
      </c>
      <c r="E4" s="83"/>
      <c r="F4" s="83"/>
      <c r="G4" s="83"/>
      <c r="H4" s="83"/>
      <c r="I4" s="83"/>
      <c r="J4" s="83"/>
      <c r="K4" s="83"/>
      <c r="L4" s="84"/>
    </row>
    <row r="5" spans="2:12" ht="55.5" customHeight="1" thickBot="1">
      <c r="B5" s="75"/>
      <c r="C5" s="65" t="s">
        <v>59</v>
      </c>
      <c r="D5" s="71" t="s">
        <v>62</v>
      </c>
      <c r="E5" s="72"/>
      <c r="F5" s="72"/>
      <c r="G5" s="72"/>
      <c r="H5" s="72"/>
      <c r="I5" s="72"/>
      <c r="J5" s="72"/>
      <c r="K5" s="72"/>
      <c r="L5" s="73"/>
    </row>
    <row r="6" spans="2:12" ht="87.75" customHeight="1" thickBot="1">
      <c r="B6" s="66"/>
      <c r="C6" s="67" t="s">
        <v>57</v>
      </c>
      <c r="D6" s="68" t="s">
        <v>58</v>
      </c>
      <c r="E6" s="69"/>
      <c r="F6" s="69"/>
      <c r="G6" s="69"/>
      <c r="H6" s="69"/>
      <c r="I6" s="69"/>
      <c r="J6" s="69"/>
      <c r="K6" s="69"/>
      <c r="L6" s="70"/>
    </row>
  </sheetData>
  <sheetProtection password="E872" sheet="1" objects="1" scenarios="1" selectLockedCells="1" selectUnlockedCells="1"/>
  <mergeCells count="6">
    <mergeCell ref="D6:L6"/>
    <mergeCell ref="D5:L5"/>
    <mergeCell ref="B2:B5"/>
    <mergeCell ref="D2:L2"/>
    <mergeCell ref="D3:L3"/>
    <mergeCell ref="D4:L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T47"/>
  <sheetViews>
    <sheetView workbookViewId="0">
      <selection activeCell="H10" sqref="H10:T10"/>
    </sheetView>
  </sheetViews>
  <sheetFormatPr defaultRowHeight="15"/>
  <cols>
    <col min="1" max="1" width="21" style="12" bestFit="1" customWidth="1"/>
    <col min="2" max="2" width="22.5703125" style="12" bestFit="1" customWidth="1"/>
    <col min="3" max="3" width="10.5703125" style="12" bestFit="1" customWidth="1"/>
    <col min="4" max="4" width="14" style="12" customWidth="1"/>
    <col min="5" max="5" width="15" style="12" customWidth="1"/>
    <col min="6" max="6" width="11.85546875" style="12" customWidth="1"/>
    <col min="7" max="7" width="9.140625" style="12"/>
    <col min="8" max="8" width="11.5703125" style="12" customWidth="1"/>
    <col min="9" max="16384" width="9.140625" style="12"/>
  </cols>
  <sheetData>
    <row r="3" spans="1:20" ht="49.5" customHeight="1">
      <c r="A3" s="50" t="s">
        <v>10</v>
      </c>
      <c r="B3" s="50" t="s">
        <v>39</v>
      </c>
      <c r="C3" s="50" t="s">
        <v>16</v>
      </c>
      <c r="D3" s="51" t="s">
        <v>28</v>
      </c>
      <c r="E3" s="50" t="s">
        <v>40</v>
      </c>
      <c r="F3" s="51" t="s">
        <v>41</v>
      </c>
      <c r="H3" s="39" t="s">
        <v>27</v>
      </c>
    </row>
    <row r="4" spans="1:20">
      <c r="A4" s="55" t="s">
        <v>45</v>
      </c>
      <c r="B4" s="18">
        <v>372537</v>
      </c>
      <c r="C4" s="42">
        <f>B4/SUM($B$4:$B$8)</f>
        <v>0.18545444770181288</v>
      </c>
      <c r="D4" s="19">
        <f>ROUNDUP(1000000*C4,-2)</f>
        <v>185500</v>
      </c>
      <c r="E4" s="20">
        <v>3.46</v>
      </c>
      <c r="F4" s="21">
        <v>2.5</v>
      </c>
      <c r="H4" s="43">
        <f>$B$11*C4</f>
        <v>42.257638568623484</v>
      </c>
      <c r="J4" s="32"/>
      <c r="M4" s="22"/>
    </row>
    <row r="5" spans="1:20">
      <c r="A5" s="55" t="s">
        <v>46</v>
      </c>
      <c r="B5" s="18">
        <v>312466</v>
      </c>
      <c r="C5" s="42">
        <f t="shared" ref="C5:C8" si="0">B5/SUM($B$4:$B$8)</f>
        <v>0.15555021234292074</v>
      </c>
      <c r="D5" s="19">
        <f t="shared" ref="D5:D8" si="1">ROUNDUP(1000000*C5,-2)</f>
        <v>155600</v>
      </c>
      <c r="E5" s="20">
        <v>3.19</v>
      </c>
      <c r="F5" s="21">
        <v>2.25</v>
      </c>
      <c r="H5" s="43">
        <f t="shared" ref="H5:H8" si="2">$B$11*C5</f>
        <v>35.443661416137203</v>
      </c>
      <c r="J5" s="32"/>
      <c r="M5" s="22"/>
    </row>
    <row r="6" spans="1:20">
      <c r="A6" s="55" t="s">
        <v>47</v>
      </c>
      <c r="B6" s="18">
        <v>396315</v>
      </c>
      <c r="C6" s="42">
        <f t="shared" si="0"/>
        <v>0.19729148900899501</v>
      </c>
      <c r="D6" s="19">
        <f t="shared" si="1"/>
        <v>197300</v>
      </c>
      <c r="E6" s="20">
        <v>3.11</v>
      </c>
      <c r="F6" s="21">
        <v>2.4500000000000002</v>
      </c>
      <c r="H6" s="43">
        <f t="shared" si="2"/>
        <v>44.954826042309939</v>
      </c>
      <c r="J6" s="32"/>
      <c r="M6" s="22"/>
    </row>
    <row r="7" spans="1:20">
      <c r="A7" s="55" t="s">
        <v>48</v>
      </c>
      <c r="B7" s="18">
        <v>727175</v>
      </c>
      <c r="C7" s="42">
        <f t="shared" si="0"/>
        <v>0.36199850755110441</v>
      </c>
      <c r="D7" s="19">
        <f t="shared" si="1"/>
        <v>362000</v>
      </c>
      <c r="E7" s="20">
        <v>3.14</v>
      </c>
      <c r="F7" s="21">
        <v>2.35</v>
      </c>
      <c r="H7" s="43">
        <f t="shared" si="2"/>
        <v>82.484956732187101</v>
      </c>
      <c r="J7" s="32"/>
      <c r="M7" s="22"/>
    </row>
    <row r="8" spans="1:20">
      <c r="A8" s="55" t="s">
        <v>49</v>
      </c>
      <c r="B8" s="18">
        <v>200286</v>
      </c>
      <c r="C8" s="42">
        <f t="shared" si="0"/>
        <v>9.9705343395166915E-2</v>
      </c>
      <c r="D8" s="19">
        <f t="shared" si="1"/>
        <v>99800</v>
      </c>
      <c r="E8" s="20">
        <v>3.68</v>
      </c>
      <c r="F8" s="21">
        <v>2.2999999999999998</v>
      </c>
      <c r="H8" s="43">
        <f t="shared" si="2"/>
        <v>22.718853156479287</v>
      </c>
      <c r="J8" s="32"/>
      <c r="M8" s="22"/>
    </row>
    <row r="9" spans="1:20" ht="15.75" thickBot="1">
      <c r="D9" s="15">
        <f>SUM(D4:D8)</f>
        <v>1000200</v>
      </c>
      <c r="J9" s="32"/>
    </row>
    <row r="10" spans="1:20">
      <c r="A10" s="85" t="s">
        <v>26</v>
      </c>
      <c r="B10" s="86"/>
      <c r="C10" s="86"/>
      <c r="D10" s="86"/>
      <c r="E10" s="86"/>
      <c r="F10" s="87"/>
      <c r="H10" s="91" t="s">
        <v>50</v>
      </c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3"/>
    </row>
    <row r="11" spans="1:20">
      <c r="A11" s="12" t="s">
        <v>8</v>
      </c>
      <c r="B11" s="23">
        <f>B13/(1-B12)</f>
        <v>227.85993591573703</v>
      </c>
      <c r="C11" s="24"/>
      <c r="D11" s="24"/>
      <c r="E11" s="24"/>
      <c r="F11" s="25"/>
      <c r="H11" s="59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60"/>
    </row>
    <row r="12" spans="1:20">
      <c r="A12" s="12" t="s">
        <v>9</v>
      </c>
      <c r="B12" s="26">
        <v>0.1</v>
      </c>
      <c r="C12" s="24"/>
      <c r="D12" s="24"/>
      <c r="E12" s="24"/>
      <c r="F12" s="25"/>
      <c r="H12" s="59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60"/>
    </row>
    <row r="13" spans="1:20">
      <c r="A13" s="24" t="s">
        <v>0</v>
      </c>
      <c r="B13" s="28">
        <f>C25*B15*B16/(C26*C27+C25*B16)</f>
        <v>205.07394232416334</v>
      </c>
      <c r="C13" s="24"/>
      <c r="D13" s="24"/>
      <c r="E13" s="24"/>
      <c r="F13" s="25"/>
      <c r="H13" s="59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60"/>
    </row>
    <row r="14" spans="1:20">
      <c r="A14" s="27"/>
      <c r="B14" s="28"/>
      <c r="C14" s="24"/>
      <c r="D14" s="24"/>
      <c r="E14" s="24"/>
      <c r="F14" s="25"/>
      <c r="H14" s="59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60"/>
    </row>
    <row r="15" spans="1:20">
      <c r="A15" s="27" t="s">
        <v>1</v>
      </c>
      <c r="B15" s="28">
        <f>D9</f>
        <v>1000200</v>
      </c>
      <c r="C15" s="24"/>
      <c r="D15" s="24"/>
      <c r="E15" s="24"/>
      <c r="F15" s="25"/>
      <c r="H15" s="59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60"/>
    </row>
    <row r="16" spans="1:20">
      <c r="A16" s="27" t="s">
        <v>24</v>
      </c>
      <c r="B16" s="14">
        <f>POWER((B17/B18),2)</f>
        <v>0.53393323819343053</v>
      </c>
      <c r="C16" s="24"/>
      <c r="D16" s="24"/>
      <c r="E16" s="24"/>
      <c r="F16" s="25"/>
      <c r="H16" s="59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60"/>
    </row>
    <row r="17" spans="1:20">
      <c r="A17" s="27" t="s">
        <v>25</v>
      </c>
      <c r="B17" s="29">
        <f xml:space="preserve"> SQRT((D4*F4*F4+D5*F5*F5+D6*F6*F6+D7*F7*F7+D8*F8*F8)/B15)</f>
        <v>2.3785181900174637</v>
      </c>
      <c r="C17" s="24"/>
      <c r="D17" s="24"/>
      <c r="E17" s="24"/>
      <c r="F17" s="25"/>
      <c r="H17" s="59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60"/>
    </row>
    <row r="18" spans="1:20">
      <c r="A18" s="27" t="s">
        <v>23</v>
      </c>
      <c r="B18" s="30">
        <f>(D4*E4+D5*E5+D6*E6+D7*E7+D8*E8)/B15</f>
        <v>3.2550899820035992</v>
      </c>
      <c r="C18" s="24"/>
      <c r="D18" s="24"/>
      <c r="E18" s="24"/>
      <c r="F18" s="25"/>
      <c r="H18" s="59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60"/>
    </row>
    <row r="19" spans="1:20">
      <c r="B19" s="24"/>
      <c r="C19" s="24"/>
      <c r="D19" s="24"/>
      <c r="E19" s="24"/>
      <c r="F19" s="25"/>
      <c r="H19" s="59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60"/>
    </row>
    <row r="20" spans="1:20">
      <c r="A20" s="27" t="s">
        <v>6</v>
      </c>
      <c r="B20" s="38">
        <v>0.1</v>
      </c>
      <c r="C20" s="24">
        <v>0.1</v>
      </c>
      <c r="D20" s="24"/>
      <c r="F20" s="25"/>
      <c r="H20" s="59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60"/>
    </row>
    <row r="21" spans="1:20">
      <c r="A21" s="27" t="s">
        <v>2</v>
      </c>
      <c r="B21" s="38">
        <v>0.95</v>
      </c>
      <c r="C21" s="24">
        <f>IF(B21=B22,C22,C23)</f>
        <v>1.96</v>
      </c>
      <c r="D21" s="24"/>
      <c r="F21" s="25"/>
      <c r="G21" s="32"/>
      <c r="H21" s="59"/>
      <c r="I21" s="40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60"/>
    </row>
    <row r="22" spans="1:20">
      <c r="A22" s="27" t="s">
        <v>3</v>
      </c>
      <c r="B22" s="31">
        <v>0.9</v>
      </c>
      <c r="C22" s="24">
        <v>1.645</v>
      </c>
      <c r="D22" s="24"/>
      <c r="F22" s="25"/>
      <c r="H22" s="59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60"/>
    </row>
    <row r="23" spans="1:20">
      <c r="A23" s="27"/>
      <c r="B23" s="31">
        <v>0.95</v>
      </c>
      <c r="C23" s="24">
        <v>1.96</v>
      </c>
      <c r="D23" s="24"/>
      <c r="E23" s="24"/>
      <c r="F23" s="25"/>
      <c r="H23" s="59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60"/>
    </row>
    <row r="24" spans="1:20">
      <c r="A24" s="27"/>
      <c r="B24" s="24"/>
      <c r="C24" s="24"/>
      <c r="D24" s="24"/>
      <c r="E24" s="24"/>
      <c r="F24" s="25"/>
      <c r="H24" s="59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60"/>
    </row>
    <row r="25" spans="1:20">
      <c r="A25" s="27" t="s">
        <v>4</v>
      </c>
      <c r="B25" s="24"/>
      <c r="C25" s="24">
        <f>C21*C21</f>
        <v>3.8415999999999997</v>
      </c>
      <c r="D25" s="24"/>
      <c r="E25" s="24"/>
      <c r="F25" s="25"/>
      <c r="H25" s="59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60"/>
    </row>
    <row r="26" spans="1:20">
      <c r="A26" s="27" t="s">
        <v>5</v>
      </c>
      <c r="B26" s="24"/>
      <c r="C26" s="28">
        <f>B15-1</f>
        <v>1000199</v>
      </c>
      <c r="D26" s="24"/>
      <c r="E26" s="24"/>
      <c r="F26" s="25"/>
      <c r="H26" s="59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60"/>
    </row>
    <row r="27" spans="1:20">
      <c r="A27" s="33" t="s">
        <v>7</v>
      </c>
      <c r="B27" s="34"/>
      <c r="C27" s="34">
        <f>C20*C20</f>
        <v>1.0000000000000002E-2</v>
      </c>
      <c r="D27" s="34"/>
      <c r="E27" s="34"/>
      <c r="F27" s="35"/>
      <c r="H27" s="59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60"/>
    </row>
    <row r="28" spans="1:20">
      <c r="H28" s="59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60"/>
    </row>
    <row r="29" spans="1:20" ht="15.75" thickBot="1">
      <c r="H29" s="59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60"/>
    </row>
    <row r="30" spans="1:20" ht="30" customHeight="1">
      <c r="A30" s="88" t="s">
        <v>38</v>
      </c>
      <c r="B30" s="89"/>
      <c r="C30" s="89"/>
      <c r="D30" s="89"/>
      <c r="E30" s="89"/>
      <c r="F30" s="90"/>
      <c r="H30" s="59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60"/>
    </row>
    <row r="31" spans="1:20" ht="15.75" thickBot="1">
      <c r="A31" s="52" t="s">
        <v>35</v>
      </c>
      <c r="B31" s="53"/>
      <c r="C31" s="53"/>
      <c r="D31" s="53"/>
      <c r="E31" s="53"/>
      <c r="F31" s="54"/>
      <c r="H31" s="59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60"/>
    </row>
    <row r="32" spans="1:20">
      <c r="H32" s="59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60"/>
    </row>
    <row r="33" spans="8:20">
      <c r="H33" s="59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60"/>
    </row>
    <row r="34" spans="8:20">
      <c r="H34" s="59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60"/>
    </row>
    <row r="35" spans="8:20">
      <c r="H35" s="59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60"/>
    </row>
    <row r="36" spans="8:20">
      <c r="H36" s="59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60"/>
    </row>
    <row r="37" spans="8:20">
      <c r="H37" s="59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60"/>
    </row>
    <row r="38" spans="8:20">
      <c r="H38" s="59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60"/>
    </row>
    <row r="39" spans="8:20">
      <c r="H39" s="59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60"/>
    </row>
    <row r="40" spans="8:20">
      <c r="H40" s="59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60"/>
    </row>
    <row r="41" spans="8:20">
      <c r="H41" s="59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60"/>
    </row>
    <row r="42" spans="8:20">
      <c r="H42" s="59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60"/>
    </row>
    <row r="43" spans="8:20">
      <c r="H43" s="59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60"/>
    </row>
    <row r="44" spans="8:20">
      <c r="H44" s="59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60"/>
    </row>
    <row r="45" spans="8:20">
      <c r="H45" s="59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60"/>
    </row>
    <row r="46" spans="8:20">
      <c r="H46" s="59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60"/>
    </row>
    <row r="47" spans="8:20" ht="15.75" thickBot="1">
      <c r="H47" s="61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3"/>
    </row>
  </sheetData>
  <mergeCells count="3">
    <mergeCell ref="A10:F10"/>
    <mergeCell ref="A30:F30"/>
    <mergeCell ref="H10:T10"/>
  </mergeCells>
  <dataValidations count="1">
    <dataValidation type="list" allowBlank="1" showInputMessage="1" showErrorMessage="1" sqref="B21">
      <formula1>$B$22:$B$23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S50"/>
  <sheetViews>
    <sheetView workbookViewId="0">
      <selection activeCell="G10" sqref="G10:S10"/>
    </sheetView>
  </sheetViews>
  <sheetFormatPr defaultRowHeight="15"/>
  <cols>
    <col min="1" max="1" width="21" style="12" bestFit="1" customWidth="1"/>
    <col min="2" max="2" width="22.5703125" style="12" bestFit="1" customWidth="1"/>
    <col min="3" max="3" width="10.5703125" style="12" bestFit="1" customWidth="1"/>
    <col min="4" max="4" width="14" style="12" customWidth="1"/>
    <col min="5" max="5" width="17.140625" style="12" customWidth="1"/>
    <col min="6" max="6" width="12" style="12" bestFit="1" customWidth="1"/>
    <col min="7" max="7" width="9.140625" style="12"/>
    <col min="8" max="8" width="11.5703125" style="12" customWidth="1"/>
    <col min="9" max="16384" width="9.140625" style="12"/>
  </cols>
  <sheetData>
    <row r="3" spans="1:19" ht="49.5" customHeight="1">
      <c r="A3" s="16" t="s">
        <v>10</v>
      </c>
      <c r="B3" s="16" t="s">
        <v>15</v>
      </c>
      <c r="C3" s="16" t="s">
        <v>16</v>
      </c>
      <c r="D3" s="17" t="s">
        <v>28</v>
      </c>
      <c r="E3" s="17" t="s">
        <v>13</v>
      </c>
      <c r="F3" s="17" t="s">
        <v>14</v>
      </c>
      <c r="H3" s="39" t="s">
        <v>27</v>
      </c>
    </row>
    <row r="4" spans="1:19">
      <c r="A4" s="55" t="s">
        <v>45</v>
      </c>
      <c r="B4" s="18">
        <f>'lppd-mean'!B4</f>
        <v>372537</v>
      </c>
      <c r="C4" s="42">
        <f>B4/SUM($B$4:$B$8)</f>
        <v>0.18545444770181288</v>
      </c>
      <c r="D4" s="19">
        <f>ROUNDUP(1000000*C4,-2)</f>
        <v>185500</v>
      </c>
      <c r="E4" s="20">
        <v>4.7</v>
      </c>
      <c r="F4" s="20">
        <f>(2+9)/4</f>
        <v>2.75</v>
      </c>
      <c r="H4" s="43">
        <f>$B$12*C4</f>
        <v>28.51378219911366</v>
      </c>
      <c r="J4" s="15"/>
      <c r="M4" s="22"/>
    </row>
    <row r="5" spans="1:19">
      <c r="A5" s="55" t="s">
        <v>46</v>
      </c>
      <c r="B5" s="18">
        <f>'lppd-mean'!B5</f>
        <v>312466</v>
      </c>
      <c r="C5" s="42">
        <f t="shared" ref="C5:C8" si="0">B5/SUM($B$4:$B$8)</f>
        <v>0.15555021234292074</v>
      </c>
      <c r="D5" s="19">
        <f t="shared" ref="D5:D8" si="1">ROUNDUP(1000000*C5,-2)</f>
        <v>155600</v>
      </c>
      <c r="E5" s="20">
        <v>5.6</v>
      </c>
      <c r="F5" s="20">
        <f>(2+12)/4</f>
        <v>3.5</v>
      </c>
      <c r="H5" s="43">
        <f t="shared" ref="H5:H8" si="2">$B$12*C5</f>
        <v>23.915980073464514</v>
      </c>
      <c r="J5" s="15"/>
      <c r="M5" s="22"/>
    </row>
    <row r="6" spans="1:19">
      <c r="A6" s="55" t="s">
        <v>47</v>
      </c>
      <c r="B6" s="18">
        <f>'lppd-mean'!B6</f>
        <v>396315</v>
      </c>
      <c r="C6" s="42">
        <f t="shared" si="0"/>
        <v>0.19729148900899501</v>
      </c>
      <c r="D6" s="19">
        <f t="shared" si="1"/>
        <v>197300</v>
      </c>
      <c r="E6" s="20">
        <v>5.2</v>
      </c>
      <c r="F6" s="20">
        <f t="shared" ref="F6" si="3">(2+11)/4</f>
        <v>3.25</v>
      </c>
      <c r="H6" s="43">
        <f t="shared" si="2"/>
        <v>30.333737567655646</v>
      </c>
      <c r="J6" s="15"/>
      <c r="M6" s="22"/>
    </row>
    <row r="7" spans="1:19">
      <c r="A7" s="55" t="s">
        <v>48</v>
      </c>
      <c r="B7" s="18">
        <f>'lppd-mean'!B7</f>
        <v>727175</v>
      </c>
      <c r="C7" s="42">
        <f t="shared" si="0"/>
        <v>0.36199850755110441</v>
      </c>
      <c r="D7" s="19">
        <f t="shared" si="1"/>
        <v>362000</v>
      </c>
      <c r="E7" s="20">
        <v>5.0999999999999996</v>
      </c>
      <c r="F7" s="20">
        <v>3</v>
      </c>
      <c r="H7" s="43">
        <f t="shared" si="2"/>
        <v>55.657584536946601</v>
      </c>
      <c r="J7" s="15"/>
      <c r="M7" s="22"/>
    </row>
    <row r="8" spans="1:19">
      <c r="A8" s="55" t="s">
        <v>49</v>
      </c>
      <c r="B8" s="18">
        <f>'lppd-mean'!B8</f>
        <v>200286</v>
      </c>
      <c r="C8" s="42">
        <f t="shared" si="0"/>
        <v>9.9705343395166915E-2</v>
      </c>
      <c r="D8" s="19">
        <f t="shared" si="1"/>
        <v>99800</v>
      </c>
      <c r="E8" s="20">
        <v>4.5999999999999996</v>
      </c>
      <c r="F8" s="20">
        <v>2.5</v>
      </c>
      <c r="H8" s="43">
        <f t="shared" si="2"/>
        <v>15.329783032374445</v>
      </c>
      <c r="J8" s="15"/>
      <c r="M8" s="22"/>
    </row>
    <row r="9" spans="1:19" ht="15.75" thickBot="1">
      <c r="D9" s="15">
        <f>SUM(D4:D8)</f>
        <v>1000200</v>
      </c>
      <c r="J9" s="32"/>
    </row>
    <row r="10" spans="1:19" ht="15.75" thickBot="1">
      <c r="A10" s="85" t="s">
        <v>0</v>
      </c>
      <c r="B10" s="86"/>
      <c r="C10" s="86"/>
      <c r="D10" s="86"/>
      <c r="G10" s="91" t="s">
        <v>50</v>
      </c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3"/>
    </row>
    <row r="11" spans="1:19">
      <c r="B11" s="34"/>
      <c r="G11" s="56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8"/>
    </row>
    <row r="12" spans="1:19">
      <c r="A12" s="36" t="s">
        <v>8</v>
      </c>
      <c r="B12" s="23">
        <f>B14/(1-B13)</f>
        <v>153.75086740955487</v>
      </c>
      <c r="C12" s="36"/>
      <c r="D12" s="49"/>
      <c r="G12" s="59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60"/>
    </row>
    <row r="13" spans="1:19">
      <c r="A13" s="12" t="s">
        <v>9</v>
      </c>
      <c r="B13" s="26">
        <v>0.1</v>
      </c>
      <c r="C13" s="24"/>
      <c r="D13" s="25"/>
      <c r="G13" s="59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60"/>
    </row>
    <row r="14" spans="1:19">
      <c r="A14" s="24" t="s">
        <v>0</v>
      </c>
      <c r="B14" s="28">
        <f>C27*B16*B17/(C28*C29+C27*B17)</f>
        <v>138.37578066859939</v>
      </c>
      <c r="C14" s="24"/>
      <c r="D14" s="25"/>
      <c r="G14" s="59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60"/>
    </row>
    <row r="15" spans="1:19">
      <c r="A15" s="24"/>
      <c r="B15" s="40"/>
      <c r="C15" s="24"/>
      <c r="D15" s="25"/>
      <c r="G15" s="59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60"/>
    </row>
    <row r="16" spans="1:19">
      <c r="A16" s="27" t="s">
        <v>1</v>
      </c>
      <c r="B16" s="28">
        <f>D9</f>
        <v>1000200</v>
      </c>
      <c r="C16" s="24"/>
      <c r="D16" s="25"/>
      <c r="G16" s="59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60"/>
    </row>
    <row r="17" spans="1:19">
      <c r="A17" s="27" t="s">
        <v>24</v>
      </c>
      <c r="B17" s="41">
        <f>POWER((B18/B19),2)</f>
        <v>0.36025299088432461</v>
      </c>
      <c r="C17" s="24"/>
      <c r="D17" s="25"/>
      <c r="G17" s="59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60"/>
    </row>
    <row r="18" spans="1:19">
      <c r="A18" s="27" t="s">
        <v>25</v>
      </c>
      <c r="B18" s="37">
        <f xml:space="preserve"> SQRT((D4*F4*F4+D5*F5*F5+D6*F6*F6+D7*F7*F7+D8*F8*F8)/B16)</f>
        <v>3.045130610649208</v>
      </c>
      <c r="C18" s="24"/>
      <c r="D18" s="25"/>
      <c r="G18" s="59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60"/>
    </row>
    <row r="19" spans="1:19">
      <c r="A19" s="27" t="s">
        <v>23</v>
      </c>
      <c r="B19" s="30">
        <f>(D4*E4+D5*E5+D6*E6+D7*E7+D8*E8)/B16</f>
        <v>5.0734353129374128</v>
      </c>
      <c r="C19" s="24"/>
      <c r="D19" s="25"/>
      <c r="G19" s="59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60"/>
    </row>
    <row r="20" spans="1:19">
      <c r="A20" s="27"/>
      <c r="B20" s="24"/>
      <c r="C20" s="24"/>
      <c r="D20" s="25"/>
      <c r="G20" s="59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0"/>
    </row>
    <row r="21" spans="1:19">
      <c r="C21" s="24"/>
      <c r="D21" s="25"/>
      <c r="G21" s="59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60"/>
    </row>
    <row r="22" spans="1:19">
      <c r="A22" s="27" t="s">
        <v>6</v>
      </c>
      <c r="B22" s="38">
        <v>0.1</v>
      </c>
      <c r="C22" s="24">
        <v>0.1</v>
      </c>
      <c r="D22" s="25"/>
      <c r="G22" s="59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60"/>
    </row>
    <row r="23" spans="1:19">
      <c r="A23" s="27" t="s">
        <v>2</v>
      </c>
      <c r="B23" s="38">
        <v>0.95</v>
      </c>
      <c r="C23" s="24">
        <f>IF(B23=B24,C24,C25)</f>
        <v>1.96</v>
      </c>
      <c r="D23" s="25"/>
      <c r="G23" s="59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60"/>
    </row>
    <row r="24" spans="1:19">
      <c r="A24" s="27" t="s">
        <v>3</v>
      </c>
      <c r="B24" s="31">
        <v>0.9</v>
      </c>
      <c r="C24" s="24">
        <v>1.645</v>
      </c>
      <c r="D24" s="25"/>
      <c r="G24" s="59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0"/>
    </row>
    <row r="25" spans="1:19">
      <c r="A25" s="27"/>
      <c r="B25" s="31">
        <v>0.95</v>
      </c>
      <c r="C25" s="24">
        <v>1.96</v>
      </c>
      <c r="D25" s="25"/>
      <c r="G25" s="59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60"/>
    </row>
    <row r="26" spans="1:19">
      <c r="A26" s="27"/>
      <c r="B26" s="24"/>
      <c r="C26" s="24"/>
      <c r="D26" s="25"/>
      <c r="G26" s="59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0"/>
    </row>
    <row r="27" spans="1:19">
      <c r="A27" s="27" t="s">
        <v>4</v>
      </c>
      <c r="B27" s="24"/>
      <c r="C27" s="24">
        <f>C23*C23</f>
        <v>3.8415999999999997</v>
      </c>
      <c r="D27" s="25"/>
      <c r="G27" s="59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60"/>
    </row>
    <row r="28" spans="1:19">
      <c r="A28" s="27" t="s">
        <v>5</v>
      </c>
      <c r="B28" s="24"/>
      <c r="C28" s="28">
        <f>B16-1</f>
        <v>1000199</v>
      </c>
      <c r="D28" s="25"/>
      <c r="G28" s="59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0"/>
    </row>
    <row r="29" spans="1:19">
      <c r="A29" s="27" t="s">
        <v>7</v>
      </c>
      <c r="B29" s="24"/>
      <c r="C29" s="24">
        <f>C22*C22</f>
        <v>1.0000000000000002E-2</v>
      </c>
      <c r="D29" s="25"/>
      <c r="G29" s="59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0"/>
    </row>
    <row r="30" spans="1:19">
      <c r="A30" s="27"/>
      <c r="B30" s="24"/>
      <c r="C30" s="24"/>
      <c r="D30" s="25"/>
      <c r="G30" s="59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60"/>
    </row>
    <row r="31" spans="1:19">
      <c r="A31" s="33"/>
      <c r="B31" s="34"/>
      <c r="C31" s="34"/>
      <c r="D31" s="35"/>
      <c r="G31" s="59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60"/>
    </row>
    <row r="32" spans="1:19">
      <c r="G32" s="59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60"/>
    </row>
    <row r="33" spans="7:19">
      <c r="G33" s="59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60"/>
    </row>
    <row r="34" spans="7:19">
      <c r="G34" s="59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60"/>
    </row>
    <row r="35" spans="7:19">
      <c r="G35" s="59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60"/>
    </row>
    <row r="36" spans="7:19">
      <c r="G36" s="59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60"/>
    </row>
    <row r="37" spans="7:19">
      <c r="G37" s="59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60"/>
    </row>
    <row r="38" spans="7:19">
      <c r="G38" s="59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60"/>
    </row>
    <row r="39" spans="7:19">
      <c r="G39" s="59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60"/>
    </row>
    <row r="40" spans="7:19">
      <c r="G40" s="59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60"/>
    </row>
    <row r="41" spans="7:19">
      <c r="G41" s="59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60"/>
    </row>
    <row r="42" spans="7:19">
      <c r="G42" s="59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60"/>
    </row>
    <row r="43" spans="7:19">
      <c r="G43" s="59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60"/>
    </row>
    <row r="44" spans="7:19">
      <c r="G44" s="59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60"/>
    </row>
    <row r="45" spans="7:19">
      <c r="G45" s="59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60"/>
    </row>
    <row r="46" spans="7:19">
      <c r="G46" s="59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60"/>
    </row>
    <row r="47" spans="7:19">
      <c r="G47" s="59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60"/>
    </row>
    <row r="48" spans="7:19">
      <c r="G48" s="59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60"/>
    </row>
    <row r="49" spans="7:19">
      <c r="G49" s="59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60"/>
    </row>
    <row r="50" spans="7:19" ht="15.75" thickBot="1">
      <c r="G50" s="61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3"/>
    </row>
  </sheetData>
  <mergeCells count="2">
    <mergeCell ref="A10:D10"/>
    <mergeCell ref="G10:S10"/>
  </mergeCells>
  <dataValidations count="1">
    <dataValidation type="list" allowBlank="1" showInputMessage="1" showErrorMessage="1" sqref="B23">
      <formula1>#REF!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3:S38"/>
  <sheetViews>
    <sheetView topLeftCell="A10" workbookViewId="0">
      <selection activeCell="C13" sqref="C13"/>
    </sheetView>
  </sheetViews>
  <sheetFormatPr defaultRowHeight="15"/>
  <cols>
    <col min="1" max="1" width="21" style="12" bestFit="1" customWidth="1"/>
    <col min="2" max="2" width="22.5703125" style="12" bestFit="1" customWidth="1"/>
    <col min="3" max="3" width="10.5703125" style="12" bestFit="1" customWidth="1"/>
    <col min="4" max="4" width="13.28515625" style="12" bestFit="1" customWidth="1"/>
    <col min="5" max="6" width="18.7109375" style="12" bestFit="1" customWidth="1"/>
    <col min="7" max="7" width="11.85546875" style="12" customWidth="1"/>
    <col min="8" max="8" width="17.140625" style="12" customWidth="1"/>
    <col min="9" max="9" width="12" style="12" bestFit="1" customWidth="1"/>
    <col min="10" max="10" width="9.140625" style="12"/>
    <col min="11" max="11" width="11.5703125" style="12" customWidth="1"/>
    <col min="12" max="16384" width="9.140625" style="12"/>
  </cols>
  <sheetData>
    <row r="3" spans="1:19" ht="54.75" customHeight="1">
      <c r="A3" s="16" t="s">
        <v>10</v>
      </c>
      <c r="B3" s="16" t="s">
        <v>15</v>
      </c>
      <c r="C3" s="16" t="s">
        <v>16</v>
      </c>
      <c r="D3" s="17" t="s">
        <v>28</v>
      </c>
      <c r="E3" s="44" t="s">
        <v>32</v>
      </c>
      <c r="F3" s="44" t="s">
        <v>31</v>
      </c>
      <c r="G3" s="17" t="s">
        <v>29</v>
      </c>
      <c r="H3" s="17" t="s">
        <v>30</v>
      </c>
      <c r="K3" s="39" t="s">
        <v>27</v>
      </c>
    </row>
    <row r="4" spans="1:19">
      <c r="A4" s="55" t="s">
        <v>45</v>
      </c>
      <c r="B4" s="18">
        <f>'lppd-mean'!B4</f>
        <v>372537</v>
      </c>
      <c r="C4" s="46">
        <f>B4/(SUM($B$4:$B$8))</f>
        <v>0.18545444770181288</v>
      </c>
      <c r="D4" s="19">
        <f>ROUNDUP(1000000*C4,-2)</f>
        <v>185500</v>
      </c>
      <c r="E4" s="47">
        <v>0.6</v>
      </c>
      <c r="F4" s="48">
        <f>1-E4</f>
        <v>0.4</v>
      </c>
      <c r="G4" s="45">
        <f>D4*E4*F4</f>
        <v>44520</v>
      </c>
      <c r="H4" s="45">
        <f>D4*E4</f>
        <v>111300</v>
      </c>
      <c r="K4" s="43">
        <f>$B$11*C4</f>
        <v>32.972611858448765</v>
      </c>
      <c r="M4" s="32"/>
      <c r="P4" s="22"/>
    </row>
    <row r="5" spans="1:19">
      <c r="A5" s="55" t="s">
        <v>46</v>
      </c>
      <c r="B5" s="18">
        <f>'lppd-mean'!B5</f>
        <v>312466</v>
      </c>
      <c r="C5" s="46">
        <f t="shared" ref="C5:C8" si="0">B5/(SUM($B$4:$B$8))</f>
        <v>0.15555021234292074</v>
      </c>
      <c r="D5" s="19">
        <f t="shared" ref="D5:D8" si="1">ROUNDUP(1000000*C5,-2)</f>
        <v>155600</v>
      </c>
      <c r="E5" s="47">
        <v>0.65</v>
      </c>
      <c r="F5" s="48">
        <f t="shared" ref="F5:F8" si="2">1-E5</f>
        <v>0.35</v>
      </c>
      <c r="G5" s="45">
        <f t="shared" ref="G5:G8" si="3">D5*E5*F5</f>
        <v>35399</v>
      </c>
      <c r="H5" s="45">
        <f t="shared" ref="H5:H8" si="4">D5*E5</f>
        <v>101140</v>
      </c>
      <c r="K5" s="43">
        <f>$B$11*C5</f>
        <v>27.65583052679882</v>
      </c>
      <c r="M5" s="32"/>
      <c r="P5" s="22"/>
    </row>
    <row r="6" spans="1:19">
      <c r="A6" s="55" t="s">
        <v>47</v>
      </c>
      <c r="B6" s="18">
        <f>'lppd-mean'!B6</f>
        <v>396315</v>
      </c>
      <c r="C6" s="46">
        <f t="shared" si="0"/>
        <v>0.19729148900899501</v>
      </c>
      <c r="D6" s="19">
        <f t="shared" si="1"/>
        <v>197300</v>
      </c>
      <c r="E6" s="47">
        <v>0.7</v>
      </c>
      <c r="F6" s="48">
        <f t="shared" si="2"/>
        <v>0.30000000000000004</v>
      </c>
      <c r="G6" s="45">
        <f t="shared" si="3"/>
        <v>41433.000000000007</v>
      </c>
      <c r="H6" s="45">
        <f t="shared" si="4"/>
        <v>138110</v>
      </c>
      <c r="K6" s="43">
        <f>$B$11*C6</f>
        <v>35.077161915946938</v>
      </c>
      <c r="M6" s="32"/>
      <c r="P6" s="22"/>
    </row>
    <row r="7" spans="1:19">
      <c r="A7" s="55" t="s">
        <v>48</v>
      </c>
      <c r="B7" s="18">
        <f>'lppd-mean'!B7</f>
        <v>727175</v>
      </c>
      <c r="C7" s="46">
        <f t="shared" si="0"/>
        <v>0.36199850755110441</v>
      </c>
      <c r="D7" s="19">
        <f t="shared" si="1"/>
        <v>362000</v>
      </c>
      <c r="E7" s="47">
        <v>0.75</v>
      </c>
      <c r="F7" s="48">
        <f t="shared" si="2"/>
        <v>0.25</v>
      </c>
      <c r="G7" s="45">
        <f t="shared" si="3"/>
        <v>67875</v>
      </c>
      <c r="H7" s="45">
        <f t="shared" si="4"/>
        <v>271500</v>
      </c>
      <c r="K7" s="43">
        <f>$B$11*C7</f>
        <v>64.361013880950026</v>
      </c>
      <c r="M7" s="32"/>
      <c r="P7" s="22"/>
    </row>
    <row r="8" spans="1:19">
      <c r="A8" s="55" t="s">
        <v>49</v>
      </c>
      <c r="B8" s="18">
        <f>'lppd-mean'!B8</f>
        <v>200286</v>
      </c>
      <c r="C8" s="46">
        <f t="shared" si="0"/>
        <v>9.9705343395166915E-2</v>
      </c>
      <c r="D8" s="19">
        <f t="shared" si="1"/>
        <v>99800</v>
      </c>
      <c r="E8" s="47">
        <v>0.8</v>
      </c>
      <c r="F8" s="48">
        <f t="shared" si="2"/>
        <v>0.19999999999999996</v>
      </c>
      <c r="G8" s="45">
        <f t="shared" si="3"/>
        <v>15967.999999999996</v>
      </c>
      <c r="H8" s="45">
        <f t="shared" si="4"/>
        <v>79840</v>
      </c>
      <c r="K8" s="43">
        <f>$B$11*C8</f>
        <v>17.726970847677599</v>
      </c>
      <c r="M8" s="32"/>
      <c r="P8" s="22"/>
    </row>
    <row r="9" spans="1:19">
      <c r="D9" s="15">
        <f>SUM(D4:D8)</f>
        <v>1000200</v>
      </c>
      <c r="E9" s="15"/>
      <c r="M9" s="32"/>
    </row>
    <row r="10" spans="1:19" ht="15.75" thickBot="1">
      <c r="A10" s="85" t="s">
        <v>42</v>
      </c>
      <c r="B10" s="86"/>
      <c r="C10" s="86"/>
      <c r="D10" s="86"/>
      <c r="E10" s="86"/>
      <c r="F10" s="86"/>
      <c r="G10" s="87"/>
      <c r="I10" s="94" t="s">
        <v>61</v>
      </c>
      <c r="J10" s="94"/>
      <c r="K10" s="94"/>
      <c r="L10" s="94"/>
      <c r="M10" s="94"/>
      <c r="N10" s="94"/>
      <c r="O10" s="94"/>
      <c r="P10" s="94"/>
      <c r="Q10" s="94"/>
      <c r="R10" s="94"/>
      <c r="S10" s="94"/>
    </row>
    <row r="11" spans="1:19">
      <c r="A11" s="12" t="s">
        <v>8</v>
      </c>
      <c r="B11" s="23">
        <f>B13/(1-B12)</f>
        <v>177.79358902982216</v>
      </c>
      <c r="C11" s="24"/>
      <c r="D11" s="24"/>
      <c r="E11" s="24"/>
      <c r="F11" s="24"/>
      <c r="G11" s="25"/>
      <c r="I11" s="56"/>
      <c r="J11" s="57"/>
      <c r="K11" s="57"/>
      <c r="L11" s="57"/>
      <c r="M11" s="57"/>
      <c r="N11" s="57"/>
      <c r="O11" s="57"/>
      <c r="P11" s="57"/>
      <c r="Q11" s="57"/>
      <c r="R11" s="57"/>
      <c r="S11" s="58"/>
    </row>
    <row r="12" spans="1:19">
      <c r="A12" s="12" t="s">
        <v>9</v>
      </c>
      <c r="B12" s="26">
        <v>0.1</v>
      </c>
      <c r="C12" s="24"/>
      <c r="D12" s="24"/>
      <c r="E12" s="24"/>
      <c r="F12" s="24"/>
      <c r="G12" s="25"/>
      <c r="I12" s="59"/>
      <c r="J12" s="24"/>
      <c r="K12" s="24"/>
      <c r="L12" s="24"/>
      <c r="M12" s="24"/>
      <c r="N12" s="24"/>
      <c r="O12" s="24"/>
      <c r="P12" s="24"/>
      <c r="Q12" s="24"/>
      <c r="R12" s="24"/>
      <c r="S12" s="60"/>
    </row>
    <row r="13" spans="1:19">
      <c r="A13" s="24" t="s">
        <v>0</v>
      </c>
      <c r="B13" s="28">
        <f>C25*B15*B16/(C26*C27+C25*B16)</f>
        <v>160.01423012683995</v>
      </c>
      <c r="C13" s="24"/>
      <c r="D13" s="24"/>
      <c r="E13" s="24"/>
      <c r="F13" s="24"/>
      <c r="G13" s="25"/>
      <c r="I13" s="59"/>
      <c r="J13" s="24"/>
      <c r="K13" s="24"/>
      <c r="L13" s="24"/>
      <c r="M13" s="24"/>
      <c r="N13" s="24"/>
      <c r="O13" s="24"/>
      <c r="P13" s="24"/>
      <c r="Q13" s="24"/>
      <c r="R13" s="24"/>
      <c r="S13" s="60"/>
    </row>
    <row r="14" spans="1:19">
      <c r="A14" s="27"/>
      <c r="B14" s="28"/>
      <c r="C14" s="24"/>
      <c r="D14" s="24"/>
      <c r="E14" s="24"/>
      <c r="F14" s="24"/>
      <c r="G14" s="25"/>
      <c r="I14" s="59"/>
      <c r="J14" s="24"/>
      <c r="K14" s="24"/>
      <c r="L14" s="24"/>
      <c r="M14" s="24"/>
      <c r="N14" s="24"/>
      <c r="O14" s="24"/>
      <c r="P14" s="24"/>
      <c r="Q14" s="24"/>
      <c r="R14" s="24"/>
      <c r="S14" s="60"/>
    </row>
    <row r="15" spans="1:19">
      <c r="A15" s="27" t="s">
        <v>1</v>
      </c>
      <c r="B15" s="28">
        <f>D9</f>
        <v>1000200</v>
      </c>
      <c r="C15" s="24"/>
      <c r="D15" s="24"/>
      <c r="E15" s="24"/>
      <c r="F15" s="24"/>
      <c r="G15" s="25"/>
      <c r="I15" s="59"/>
      <c r="J15" s="24"/>
      <c r="K15" s="24"/>
      <c r="L15" s="24"/>
      <c r="M15" s="24"/>
      <c r="N15" s="24"/>
      <c r="O15" s="24"/>
      <c r="P15" s="24"/>
      <c r="Q15" s="24"/>
      <c r="R15" s="24"/>
      <c r="S15" s="60"/>
    </row>
    <row r="16" spans="1:19">
      <c r="A16" s="27" t="s">
        <v>24</v>
      </c>
      <c r="B16" s="14">
        <f>POWER((B17/B18),2)</f>
        <v>0.41659640162711919</v>
      </c>
      <c r="C16" s="24"/>
      <c r="D16" s="24"/>
      <c r="E16" s="24"/>
      <c r="F16" s="24"/>
      <c r="G16" s="25"/>
      <c r="I16" s="59"/>
      <c r="J16" s="24"/>
      <c r="K16" s="24"/>
      <c r="L16" s="24"/>
      <c r="M16" s="24"/>
      <c r="N16" s="24"/>
      <c r="O16" s="24"/>
      <c r="P16" s="24"/>
      <c r="Q16" s="24"/>
      <c r="R16" s="24"/>
      <c r="S16" s="60"/>
    </row>
    <row r="17" spans="1:19">
      <c r="A17" s="27" t="s">
        <v>25</v>
      </c>
      <c r="B17" s="29">
        <f xml:space="preserve"> SQRT(SUM(G4:G8)/D9)</f>
        <v>0.45293925553672071</v>
      </c>
      <c r="C17" s="24"/>
      <c r="D17" s="24"/>
      <c r="E17" s="24"/>
      <c r="F17" s="24"/>
      <c r="G17" s="25"/>
      <c r="I17" s="59"/>
      <c r="J17" s="24"/>
      <c r="K17" s="24"/>
      <c r="L17" s="24"/>
      <c r="M17" s="24"/>
      <c r="N17" s="24"/>
      <c r="O17" s="24"/>
      <c r="P17" s="24"/>
      <c r="Q17" s="24"/>
      <c r="R17" s="24"/>
      <c r="S17" s="60"/>
    </row>
    <row r="18" spans="1:19">
      <c r="A18" s="27" t="s">
        <v>33</v>
      </c>
      <c r="B18" s="30">
        <f>SUM(H4:H8)/D9</f>
        <v>0.70174965006998602</v>
      </c>
      <c r="C18" s="24"/>
      <c r="D18" s="24"/>
      <c r="E18" s="24"/>
      <c r="F18" s="24"/>
      <c r="G18" s="25"/>
      <c r="I18" s="59"/>
      <c r="J18" s="24"/>
      <c r="K18" s="24"/>
      <c r="L18" s="24"/>
      <c r="M18" s="24"/>
      <c r="N18" s="24"/>
      <c r="O18" s="24"/>
      <c r="P18" s="24"/>
      <c r="Q18" s="24"/>
      <c r="R18" s="24"/>
      <c r="S18" s="60"/>
    </row>
    <row r="19" spans="1:19">
      <c r="B19" s="24"/>
      <c r="C19" s="24"/>
      <c r="D19" s="24"/>
      <c r="E19" s="24"/>
      <c r="F19" s="24"/>
      <c r="G19" s="25"/>
      <c r="I19" s="59"/>
      <c r="J19" s="24"/>
      <c r="K19" s="24"/>
      <c r="L19" s="24"/>
      <c r="M19" s="24"/>
      <c r="N19" s="24"/>
      <c r="O19" s="24"/>
      <c r="P19" s="24"/>
      <c r="Q19" s="24"/>
      <c r="R19" s="24"/>
      <c r="S19" s="60"/>
    </row>
    <row r="20" spans="1:19">
      <c r="A20" s="27" t="s">
        <v>6</v>
      </c>
      <c r="B20" s="38">
        <v>0.1</v>
      </c>
      <c r="C20" s="24">
        <v>0.1</v>
      </c>
      <c r="D20" s="24"/>
      <c r="E20" s="24"/>
      <c r="G20" s="25"/>
      <c r="I20" s="59"/>
      <c r="J20" s="24"/>
      <c r="K20" s="24"/>
      <c r="L20" s="24"/>
      <c r="M20" s="24"/>
      <c r="N20" s="24"/>
      <c r="O20" s="24"/>
      <c r="P20" s="24"/>
      <c r="Q20" s="24"/>
      <c r="R20" s="24"/>
      <c r="S20" s="60"/>
    </row>
    <row r="21" spans="1:19">
      <c r="A21" s="27" t="s">
        <v>2</v>
      </c>
      <c r="B21" s="38">
        <v>0.95</v>
      </c>
      <c r="C21" s="24">
        <f>IF(B21=B22,C22,C23)</f>
        <v>1.96</v>
      </c>
      <c r="D21" s="24"/>
      <c r="E21" s="24"/>
      <c r="G21" s="25"/>
      <c r="H21" s="11"/>
      <c r="I21" s="59"/>
      <c r="J21" s="40"/>
      <c r="K21" s="24"/>
      <c r="L21" s="40"/>
      <c r="M21" s="24"/>
      <c r="N21" s="24"/>
      <c r="O21" s="24"/>
      <c r="P21" s="24"/>
      <c r="Q21" s="24"/>
      <c r="R21" s="24"/>
      <c r="S21" s="60"/>
    </row>
    <row r="22" spans="1:19">
      <c r="A22" s="27" t="s">
        <v>3</v>
      </c>
      <c r="B22" s="31">
        <v>0.9</v>
      </c>
      <c r="C22" s="24">
        <v>1.645</v>
      </c>
      <c r="D22" s="24"/>
      <c r="E22" s="24"/>
      <c r="G22" s="25"/>
      <c r="H22" s="13"/>
      <c r="I22" s="59"/>
      <c r="J22" s="24"/>
      <c r="K22" s="24"/>
      <c r="L22" s="24"/>
      <c r="M22" s="24"/>
      <c r="N22" s="24"/>
      <c r="O22" s="24"/>
      <c r="P22" s="24"/>
      <c r="Q22" s="24"/>
      <c r="R22" s="24"/>
      <c r="S22" s="60"/>
    </row>
    <row r="23" spans="1:19">
      <c r="A23" s="27"/>
      <c r="B23" s="31">
        <v>0.95</v>
      </c>
      <c r="C23" s="24">
        <v>1.96</v>
      </c>
      <c r="D23" s="24"/>
      <c r="E23" s="24"/>
      <c r="F23" s="24"/>
      <c r="G23" s="25"/>
      <c r="I23" s="59"/>
      <c r="J23" s="24"/>
      <c r="K23" s="24"/>
      <c r="L23" s="24"/>
      <c r="M23" s="24"/>
      <c r="N23" s="24"/>
      <c r="O23" s="24"/>
      <c r="P23" s="24"/>
      <c r="Q23" s="24"/>
      <c r="R23" s="24"/>
      <c r="S23" s="60"/>
    </row>
    <row r="24" spans="1:19">
      <c r="A24" s="27"/>
      <c r="B24" s="24"/>
      <c r="C24" s="24"/>
      <c r="D24" s="24"/>
      <c r="E24" s="24"/>
      <c r="F24" s="24"/>
      <c r="G24" s="25"/>
      <c r="I24" s="59"/>
      <c r="J24" s="24"/>
      <c r="K24" s="24"/>
      <c r="L24" s="24"/>
      <c r="M24" s="24"/>
      <c r="N24" s="24"/>
      <c r="O24" s="24"/>
      <c r="P24" s="24"/>
      <c r="Q24" s="24"/>
      <c r="R24" s="24"/>
      <c r="S24" s="60"/>
    </row>
    <row r="25" spans="1:19">
      <c r="A25" s="27" t="s">
        <v>4</v>
      </c>
      <c r="B25" s="24"/>
      <c r="C25" s="24">
        <f>C21*C21</f>
        <v>3.8415999999999997</v>
      </c>
      <c r="D25" s="24"/>
      <c r="E25" s="24"/>
      <c r="F25" s="24"/>
      <c r="G25" s="25"/>
      <c r="I25" s="59"/>
      <c r="J25" s="24"/>
      <c r="K25" s="24"/>
      <c r="L25" s="24"/>
      <c r="M25" s="24"/>
      <c r="N25" s="24"/>
      <c r="O25" s="24"/>
      <c r="P25" s="24"/>
      <c r="Q25" s="24"/>
      <c r="R25" s="24"/>
      <c r="S25" s="60"/>
    </row>
    <row r="26" spans="1:19">
      <c r="A26" s="27" t="s">
        <v>5</v>
      </c>
      <c r="B26" s="24"/>
      <c r="C26" s="28">
        <f>B15-1</f>
        <v>1000199</v>
      </c>
      <c r="D26" s="28"/>
      <c r="E26" s="24"/>
      <c r="F26" s="24"/>
      <c r="G26" s="25"/>
      <c r="I26" s="59"/>
      <c r="J26" s="24"/>
      <c r="K26" s="24"/>
      <c r="L26" s="24"/>
      <c r="M26" s="24"/>
      <c r="N26" s="24"/>
      <c r="O26" s="24"/>
      <c r="P26" s="24"/>
      <c r="Q26" s="24"/>
      <c r="R26" s="24"/>
      <c r="S26" s="60"/>
    </row>
    <row r="27" spans="1:19">
      <c r="A27" s="33" t="s">
        <v>7</v>
      </c>
      <c r="B27" s="34"/>
      <c r="C27" s="34">
        <f>C20*C20</f>
        <v>1.0000000000000002E-2</v>
      </c>
      <c r="D27" s="34"/>
      <c r="E27" s="34"/>
      <c r="F27" s="34"/>
      <c r="G27" s="35"/>
      <c r="I27" s="59"/>
      <c r="J27" s="24"/>
      <c r="K27" s="24"/>
      <c r="L27" s="24"/>
      <c r="M27" s="24"/>
      <c r="N27" s="24"/>
      <c r="O27" s="24"/>
      <c r="P27" s="24"/>
      <c r="Q27" s="24"/>
      <c r="R27" s="24"/>
      <c r="S27" s="60"/>
    </row>
    <row r="28" spans="1:19">
      <c r="I28" s="59"/>
      <c r="J28" s="24"/>
      <c r="K28" s="24"/>
      <c r="L28" s="24"/>
      <c r="M28" s="24"/>
      <c r="N28" s="24"/>
      <c r="O28" s="24"/>
      <c r="P28" s="24"/>
      <c r="Q28" s="24"/>
      <c r="R28" s="24"/>
      <c r="S28" s="60"/>
    </row>
    <row r="29" spans="1:19">
      <c r="I29" s="59"/>
      <c r="J29" s="24"/>
      <c r="K29" s="24"/>
      <c r="L29" s="24"/>
      <c r="M29" s="24"/>
      <c r="N29" s="24"/>
      <c r="O29" s="24"/>
      <c r="P29" s="24"/>
      <c r="Q29" s="24"/>
      <c r="R29" s="24"/>
      <c r="S29" s="60"/>
    </row>
    <row r="30" spans="1:19">
      <c r="I30" s="59"/>
      <c r="J30" s="24"/>
      <c r="K30" s="24"/>
      <c r="L30" s="24"/>
      <c r="M30" s="24"/>
      <c r="N30" s="24"/>
      <c r="O30" s="24"/>
      <c r="P30" s="24"/>
      <c r="Q30" s="24"/>
      <c r="R30" s="24"/>
      <c r="S30" s="60"/>
    </row>
    <row r="31" spans="1:19">
      <c r="I31" s="59"/>
      <c r="J31" s="24"/>
      <c r="K31" s="24"/>
      <c r="L31" s="24"/>
      <c r="M31" s="24"/>
      <c r="N31" s="24"/>
      <c r="O31" s="24"/>
      <c r="P31" s="24"/>
      <c r="Q31" s="24"/>
      <c r="R31" s="24"/>
      <c r="S31" s="60"/>
    </row>
    <row r="32" spans="1:19">
      <c r="I32" s="59"/>
      <c r="J32" s="24"/>
      <c r="K32" s="24"/>
      <c r="L32" s="24"/>
      <c r="M32" s="24"/>
      <c r="N32" s="24"/>
      <c r="O32" s="24"/>
      <c r="P32" s="24"/>
      <c r="Q32" s="24"/>
      <c r="R32" s="24"/>
      <c r="S32" s="60"/>
    </row>
    <row r="33" spans="9:19">
      <c r="I33" s="59"/>
      <c r="J33" s="24"/>
      <c r="K33" s="24"/>
      <c r="L33" s="24"/>
      <c r="M33" s="24"/>
      <c r="N33" s="24"/>
      <c r="O33" s="24"/>
      <c r="P33" s="24"/>
      <c r="Q33" s="24"/>
      <c r="R33" s="24"/>
      <c r="S33" s="60"/>
    </row>
    <row r="34" spans="9:19">
      <c r="I34" s="59"/>
      <c r="J34" s="24"/>
      <c r="K34" s="24"/>
      <c r="L34" s="24"/>
      <c r="M34" s="24"/>
      <c r="N34" s="24"/>
      <c r="O34" s="24"/>
      <c r="P34" s="24"/>
      <c r="Q34" s="24"/>
      <c r="R34" s="24"/>
      <c r="S34" s="60"/>
    </row>
    <row r="35" spans="9:19">
      <c r="I35" s="59"/>
      <c r="J35" s="24"/>
      <c r="K35" s="24"/>
      <c r="L35" s="24"/>
      <c r="M35" s="24"/>
      <c r="N35" s="24"/>
      <c r="O35" s="24"/>
      <c r="P35" s="24"/>
      <c r="Q35" s="24"/>
      <c r="R35" s="24"/>
      <c r="S35" s="60"/>
    </row>
    <row r="36" spans="9:19">
      <c r="I36" s="59"/>
      <c r="J36" s="24"/>
      <c r="K36" s="24"/>
      <c r="L36" s="24"/>
      <c r="M36" s="24"/>
      <c r="N36" s="24"/>
      <c r="O36" s="24"/>
      <c r="P36" s="24"/>
      <c r="Q36" s="24"/>
      <c r="R36" s="24"/>
      <c r="S36" s="60"/>
    </row>
    <row r="37" spans="9:19">
      <c r="I37" s="59"/>
      <c r="J37" s="24"/>
      <c r="K37" s="24"/>
      <c r="L37" s="24"/>
      <c r="M37" s="24"/>
      <c r="N37" s="24"/>
      <c r="O37" s="24"/>
      <c r="P37" s="24"/>
      <c r="Q37" s="24"/>
      <c r="R37" s="24"/>
      <c r="S37" s="60"/>
    </row>
    <row r="38" spans="9:19" ht="15.75" thickBot="1">
      <c r="I38" s="61"/>
      <c r="J38" s="62"/>
      <c r="K38" s="62"/>
      <c r="L38" s="62"/>
      <c r="M38" s="62"/>
      <c r="N38" s="62"/>
      <c r="O38" s="62"/>
      <c r="P38" s="62"/>
      <c r="Q38" s="62"/>
      <c r="R38" s="62"/>
      <c r="S38" s="63"/>
    </row>
  </sheetData>
  <mergeCells count="2">
    <mergeCell ref="A10:G10"/>
    <mergeCell ref="I10:S10"/>
  </mergeCells>
  <dataValidations count="1">
    <dataValidation type="list" allowBlank="1" showInputMessage="1" showErrorMessage="1" sqref="B21">
      <formula1>$B$22:$B$23</formula1>
    </dataValidation>
  </dataValidations>
  <pageMargins left="0.7" right="0.7" top="0.75" bottom="0.75" header="0.3" footer="0.3"/>
  <pageSetup paperSize="0" orientation="portrait" horizontalDpi="0" verticalDpi="0" copie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3:S37"/>
  <sheetViews>
    <sheetView workbookViewId="0">
      <selection activeCell="E16" sqref="E16"/>
    </sheetView>
  </sheetViews>
  <sheetFormatPr defaultRowHeight="15"/>
  <cols>
    <col min="1" max="1" width="21" style="12" bestFit="1" customWidth="1"/>
    <col min="2" max="2" width="22.5703125" style="12" bestFit="1" customWidth="1"/>
    <col min="3" max="3" width="10.5703125" style="12" bestFit="1" customWidth="1"/>
    <col min="4" max="4" width="13.28515625" style="12" bestFit="1" customWidth="1"/>
    <col min="5" max="6" width="18.7109375" style="12" bestFit="1" customWidth="1"/>
    <col min="7" max="7" width="11.85546875" style="12" customWidth="1"/>
    <col min="8" max="8" width="17.140625" style="12" customWidth="1"/>
    <col min="9" max="9" width="12" style="12" bestFit="1" customWidth="1"/>
    <col min="10" max="10" width="9.140625" style="12"/>
    <col min="11" max="11" width="11.5703125" style="12" customWidth="1"/>
    <col min="12" max="16384" width="9.140625" style="12"/>
  </cols>
  <sheetData>
    <row r="3" spans="1:19" ht="54.75" customHeight="1">
      <c r="A3" s="16" t="s">
        <v>10</v>
      </c>
      <c r="B3" s="16" t="s">
        <v>15</v>
      </c>
      <c r="C3" s="16" t="s">
        <v>16</v>
      </c>
      <c r="D3" s="17" t="s">
        <v>28</v>
      </c>
      <c r="E3" s="44" t="s">
        <v>34</v>
      </c>
      <c r="F3" s="44" t="s">
        <v>31</v>
      </c>
      <c r="G3" s="17" t="s">
        <v>29</v>
      </c>
      <c r="H3" s="17" t="s">
        <v>30</v>
      </c>
      <c r="K3" s="39" t="s">
        <v>27</v>
      </c>
    </row>
    <row r="4" spans="1:19">
      <c r="A4" s="55" t="s">
        <v>45</v>
      </c>
      <c r="B4" s="18">
        <f>'lppd-mean'!B4</f>
        <v>372537</v>
      </c>
      <c r="C4" s="46">
        <f>B4/(SUM($B$4:$B$8))</f>
        <v>0.18545444770181288</v>
      </c>
      <c r="D4" s="19">
        <f>ROUNDUP(1000000*C4,-2)</f>
        <v>185500</v>
      </c>
      <c r="E4" s="47">
        <v>0.7</v>
      </c>
      <c r="F4" s="48">
        <f>1-E4</f>
        <v>0.30000000000000004</v>
      </c>
      <c r="G4" s="45">
        <f>D4*E4*F4</f>
        <v>38955</v>
      </c>
      <c r="H4" s="45">
        <f>D4*E4</f>
        <v>129849.99999999999</v>
      </c>
      <c r="K4" s="43">
        <f>$B$11*C4</f>
        <v>14.835232612682985</v>
      </c>
      <c r="M4" s="32"/>
      <c r="P4" s="22"/>
    </row>
    <row r="5" spans="1:19">
      <c r="A5" s="55" t="s">
        <v>46</v>
      </c>
      <c r="B5" s="18">
        <f>'lppd-mean'!B5</f>
        <v>312466</v>
      </c>
      <c r="C5" s="46">
        <f t="shared" ref="C5:C8" si="0">B5/(SUM($B$4:$B$8))</f>
        <v>0.15555021234292074</v>
      </c>
      <c r="D5" s="19">
        <f t="shared" ref="D5:D8" si="1">ROUNDUP(1000000*C5,-2)</f>
        <v>155600</v>
      </c>
      <c r="E5" s="47">
        <v>0.75</v>
      </c>
      <c r="F5" s="48">
        <f t="shared" ref="F5:F8" si="2">1-E5</f>
        <v>0.25</v>
      </c>
      <c r="G5" s="45">
        <f t="shared" ref="G5:G8" si="3">D5*E5*F5</f>
        <v>29175</v>
      </c>
      <c r="H5" s="45">
        <f t="shared" ref="H5:H8" si="4">D5*E5</f>
        <v>116700</v>
      </c>
      <c r="K5" s="43">
        <f>$B$11*C5</f>
        <v>12.443074898747243</v>
      </c>
      <c r="M5" s="32"/>
      <c r="P5" s="22"/>
    </row>
    <row r="6" spans="1:19">
      <c r="A6" s="55" t="s">
        <v>47</v>
      </c>
      <c r="B6" s="18">
        <f>'lppd-mean'!B6</f>
        <v>396315</v>
      </c>
      <c r="C6" s="46">
        <f t="shared" si="0"/>
        <v>0.19729148900899501</v>
      </c>
      <c r="D6" s="19">
        <f t="shared" si="1"/>
        <v>197300</v>
      </c>
      <c r="E6" s="47">
        <v>0.85</v>
      </c>
      <c r="F6" s="48">
        <f t="shared" si="2"/>
        <v>0.15000000000000002</v>
      </c>
      <c r="G6" s="45">
        <f t="shared" si="3"/>
        <v>25155.750000000004</v>
      </c>
      <c r="H6" s="45">
        <f t="shared" si="4"/>
        <v>167705</v>
      </c>
      <c r="K6" s="43">
        <f>$B$11*C6</f>
        <v>15.782124226306266</v>
      </c>
      <c r="M6" s="32"/>
      <c r="P6" s="22"/>
    </row>
    <row r="7" spans="1:19">
      <c r="A7" s="55" t="s">
        <v>48</v>
      </c>
      <c r="B7" s="18">
        <f>'lppd-mean'!B7</f>
        <v>727175</v>
      </c>
      <c r="C7" s="46">
        <f t="shared" si="0"/>
        <v>0.36199850755110441</v>
      </c>
      <c r="D7" s="19">
        <f t="shared" si="1"/>
        <v>362000</v>
      </c>
      <c r="E7" s="47">
        <v>0.9</v>
      </c>
      <c r="F7" s="48">
        <f t="shared" si="2"/>
        <v>9.9999999999999978E-2</v>
      </c>
      <c r="G7" s="45">
        <f t="shared" si="3"/>
        <v>32579.999999999993</v>
      </c>
      <c r="H7" s="45">
        <f t="shared" si="4"/>
        <v>325800</v>
      </c>
      <c r="K7" s="43">
        <f>$B$11*C7</f>
        <v>28.957688162861004</v>
      </c>
      <c r="M7" s="32"/>
      <c r="P7" s="22"/>
    </row>
    <row r="8" spans="1:19">
      <c r="A8" s="55" t="s">
        <v>49</v>
      </c>
      <c r="B8" s="18">
        <f>'lppd-mean'!B8</f>
        <v>200286</v>
      </c>
      <c r="C8" s="46">
        <f t="shared" si="0"/>
        <v>9.9705343395166915E-2</v>
      </c>
      <c r="D8" s="19">
        <f t="shared" si="1"/>
        <v>99800</v>
      </c>
      <c r="E8" s="47">
        <v>0.95</v>
      </c>
      <c r="F8" s="48">
        <f t="shared" si="2"/>
        <v>5.0000000000000044E-2</v>
      </c>
      <c r="G8" s="45">
        <f t="shared" si="3"/>
        <v>4740.5000000000045</v>
      </c>
      <c r="H8" s="45">
        <f t="shared" si="4"/>
        <v>94810</v>
      </c>
      <c r="K8" s="43">
        <f>$B$11*C8</f>
        <v>7.9758236069540063</v>
      </c>
      <c r="M8" s="32"/>
      <c r="P8" s="22"/>
    </row>
    <row r="9" spans="1:19">
      <c r="D9" s="15">
        <f>SUM(D4:D8)</f>
        <v>1000200</v>
      </c>
      <c r="E9" s="15"/>
      <c r="M9" s="32"/>
    </row>
    <row r="10" spans="1:19" ht="15.75" thickBot="1">
      <c r="A10" s="85" t="s">
        <v>43</v>
      </c>
      <c r="B10" s="86"/>
      <c r="C10" s="86"/>
      <c r="D10" s="86"/>
      <c r="E10" s="86"/>
      <c r="F10" s="86"/>
      <c r="G10" s="87"/>
      <c r="I10" s="94" t="s">
        <v>60</v>
      </c>
      <c r="J10" s="94"/>
      <c r="K10" s="94"/>
      <c r="L10" s="94"/>
      <c r="M10" s="94"/>
      <c r="N10" s="94"/>
      <c r="O10" s="94"/>
      <c r="P10" s="94"/>
      <c r="Q10" s="94"/>
      <c r="R10" s="94"/>
      <c r="S10" s="94"/>
    </row>
    <row r="11" spans="1:19">
      <c r="A11" s="12" t="s">
        <v>8</v>
      </c>
      <c r="B11" s="23">
        <f>B13/(1-B12)</f>
        <v>79.993943507551506</v>
      </c>
      <c r="C11" s="24"/>
      <c r="D11" s="24"/>
      <c r="E11" s="24"/>
      <c r="F11" s="24"/>
      <c r="G11" s="25"/>
      <c r="I11" s="56"/>
      <c r="J11" s="57"/>
      <c r="K11" s="57"/>
      <c r="L11" s="57"/>
      <c r="M11" s="57"/>
      <c r="N11" s="57"/>
      <c r="O11" s="57"/>
      <c r="P11" s="57"/>
      <c r="Q11" s="57"/>
      <c r="R11" s="57"/>
      <c r="S11" s="58"/>
    </row>
    <row r="12" spans="1:19">
      <c r="A12" s="12" t="s">
        <v>9</v>
      </c>
      <c r="B12" s="26">
        <v>0.1</v>
      </c>
      <c r="C12" s="24"/>
      <c r="D12" s="24"/>
      <c r="E12" s="24"/>
      <c r="F12" s="24"/>
      <c r="G12" s="25"/>
      <c r="I12" s="59"/>
      <c r="J12" s="24"/>
      <c r="K12" s="24"/>
      <c r="L12" s="24"/>
      <c r="M12" s="24"/>
      <c r="N12" s="24"/>
      <c r="O12" s="24"/>
      <c r="P12" s="24"/>
      <c r="Q12" s="24"/>
      <c r="R12" s="24"/>
      <c r="S12" s="60"/>
    </row>
    <row r="13" spans="1:19">
      <c r="A13" s="24" t="s">
        <v>0</v>
      </c>
      <c r="B13" s="28">
        <f>C25*B15*B16/(C26*C27+C25*B16)</f>
        <v>71.994549156796353</v>
      </c>
      <c r="C13" s="24"/>
      <c r="D13" s="24"/>
      <c r="E13" s="24"/>
      <c r="F13" s="24"/>
      <c r="G13" s="25"/>
      <c r="I13" s="59"/>
      <c r="J13" s="24"/>
      <c r="K13" s="24"/>
      <c r="L13" s="24"/>
      <c r="M13" s="24"/>
      <c r="N13" s="24"/>
      <c r="O13" s="24"/>
      <c r="P13" s="24"/>
      <c r="Q13" s="24"/>
      <c r="R13" s="24"/>
      <c r="S13" s="60"/>
    </row>
    <row r="14" spans="1:19">
      <c r="A14" s="27"/>
      <c r="B14" s="28"/>
      <c r="C14" s="24"/>
      <c r="D14" s="24"/>
      <c r="E14" s="24"/>
      <c r="F14" s="24"/>
      <c r="G14" s="25"/>
      <c r="I14" s="59"/>
      <c r="J14" s="24"/>
      <c r="K14" s="24"/>
      <c r="L14" s="24"/>
      <c r="M14" s="24"/>
      <c r="N14" s="24"/>
      <c r="O14" s="24"/>
      <c r="P14" s="24"/>
      <c r="Q14" s="24"/>
      <c r="R14" s="24"/>
      <c r="S14" s="60"/>
    </row>
    <row r="15" spans="1:19">
      <c r="A15" s="27" t="s">
        <v>1</v>
      </c>
      <c r="B15" s="28">
        <f>D9</f>
        <v>1000200</v>
      </c>
      <c r="C15" s="24"/>
      <c r="D15" s="24"/>
      <c r="E15" s="24"/>
      <c r="F15" s="24"/>
      <c r="G15" s="25"/>
      <c r="I15" s="59"/>
      <c r="J15" s="24"/>
      <c r="K15" s="24"/>
      <c r="L15" s="24"/>
      <c r="M15" s="24"/>
      <c r="N15" s="24"/>
      <c r="O15" s="24"/>
      <c r="P15" s="24"/>
      <c r="Q15" s="24"/>
      <c r="R15" s="24"/>
      <c r="S15" s="60"/>
    </row>
    <row r="16" spans="1:19">
      <c r="A16" s="27" t="s">
        <v>24</v>
      </c>
      <c r="B16" s="14">
        <f>POWER((B17/B18),2)</f>
        <v>0.18742102177003112</v>
      </c>
      <c r="C16" s="24"/>
      <c r="D16" s="24"/>
      <c r="E16" s="24"/>
      <c r="F16" s="24"/>
      <c r="G16" s="25"/>
      <c r="I16" s="59"/>
      <c r="J16" s="24"/>
      <c r="K16" s="24"/>
      <c r="L16" s="24"/>
      <c r="M16" s="24"/>
      <c r="N16" s="24"/>
      <c r="O16" s="24"/>
      <c r="P16" s="24"/>
      <c r="Q16" s="24"/>
      <c r="R16" s="24"/>
      <c r="S16" s="60"/>
    </row>
    <row r="17" spans="1:19">
      <c r="A17" s="27" t="s">
        <v>25</v>
      </c>
      <c r="B17" s="29">
        <f xml:space="preserve"> SQRT(SUM(G4:G8)/D9)</f>
        <v>0.36135873308003136</v>
      </c>
      <c r="C17" s="24"/>
      <c r="D17" s="24"/>
      <c r="E17" s="24"/>
      <c r="F17" s="24"/>
      <c r="G17" s="25"/>
      <c r="I17" s="59"/>
      <c r="J17" s="24"/>
      <c r="K17" s="24"/>
      <c r="L17" s="24"/>
      <c r="M17" s="24"/>
      <c r="N17" s="24"/>
      <c r="O17" s="24"/>
      <c r="P17" s="24"/>
      <c r="Q17" s="24"/>
      <c r="R17" s="24"/>
      <c r="S17" s="60"/>
    </row>
    <row r="18" spans="1:19">
      <c r="A18" s="27" t="s">
        <v>33</v>
      </c>
      <c r="B18" s="30">
        <f>SUM(H4:H8)/D9</f>
        <v>0.83469806038792238</v>
      </c>
      <c r="C18" s="24"/>
      <c r="D18" s="24"/>
      <c r="E18" s="24"/>
      <c r="F18" s="24"/>
      <c r="G18" s="25"/>
      <c r="I18" s="59"/>
      <c r="J18" s="24"/>
      <c r="K18" s="24"/>
      <c r="L18" s="24"/>
      <c r="M18" s="24"/>
      <c r="N18" s="24"/>
      <c r="O18" s="24"/>
      <c r="P18" s="24"/>
      <c r="Q18" s="24"/>
      <c r="R18" s="24"/>
      <c r="S18" s="60"/>
    </row>
    <row r="19" spans="1:19">
      <c r="B19" s="24"/>
      <c r="C19" s="24"/>
      <c r="D19" s="24"/>
      <c r="E19" s="24"/>
      <c r="F19" s="24"/>
      <c r="G19" s="25"/>
      <c r="I19" s="59"/>
      <c r="J19" s="24"/>
      <c r="K19" s="24"/>
      <c r="L19" s="24"/>
      <c r="M19" s="24"/>
      <c r="N19" s="24"/>
      <c r="O19" s="24"/>
      <c r="P19" s="24"/>
      <c r="Q19" s="24"/>
      <c r="R19" s="24"/>
      <c r="S19" s="60"/>
    </row>
    <row r="20" spans="1:19">
      <c r="A20" s="27" t="s">
        <v>6</v>
      </c>
      <c r="B20" s="38">
        <v>0.1</v>
      </c>
      <c r="C20" s="24">
        <v>0.1</v>
      </c>
      <c r="D20" s="24"/>
      <c r="E20" s="24"/>
      <c r="G20" s="25"/>
      <c r="I20" s="59"/>
      <c r="J20" s="24"/>
      <c r="K20" s="24"/>
      <c r="L20" s="24"/>
      <c r="M20" s="24"/>
      <c r="N20" s="24"/>
      <c r="O20" s="24"/>
      <c r="P20" s="24"/>
      <c r="Q20" s="24"/>
      <c r="R20" s="24"/>
      <c r="S20" s="60"/>
    </row>
    <row r="21" spans="1:19">
      <c r="A21" s="27" t="s">
        <v>2</v>
      </c>
      <c r="B21" s="38">
        <v>0.95</v>
      </c>
      <c r="C21" s="24">
        <f>IF(B21=B22,C22,C23)</f>
        <v>1.96</v>
      </c>
      <c r="D21" s="24"/>
      <c r="E21" s="24"/>
      <c r="G21" s="25"/>
      <c r="H21" s="11"/>
      <c r="I21" s="59"/>
      <c r="J21" s="40"/>
      <c r="K21" s="24"/>
      <c r="L21" s="40"/>
      <c r="M21" s="24"/>
      <c r="N21" s="24"/>
      <c r="O21" s="24"/>
      <c r="P21" s="24"/>
      <c r="Q21" s="24"/>
      <c r="R21" s="24"/>
      <c r="S21" s="60"/>
    </row>
    <row r="22" spans="1:19">
      <c r="A22" s="27" t="s">
        <v>3</v>
      </c>
      <c r="B22" s="31">
        <v>0.9</v>
      </c>
      <c r="C22" s="24">
        <v>1.645</v>
      </c>
      <c r="D22" s="24"/>
      <c r="E22" s="24"/>
      <c r="G22" s="25"/>
      <c r="H22" s="13"/>
      <c r="I22" s="59"/>
      <c r="J22" s="24"/>
      <c r="K22" s="24"/>
      <c r="L22" s="24"/>
      <c r="M22" s="24"/>
      <c r="N22" s="24"/>
      <c r="O22" s="24"/>
      <c r="P22" s="24"/>
      <c r="Q22" s="24"/>
      <c r="R22" s="24"/>
      <c r="S22" s="60"/>
    </row>
    <row r="23" spans="1:19">
      <c r="A23" s="27"/>
      <c r="B23" s="31">
        <v>0.95</v>
      </c>
      <c r="C23" s="24">
        <v>1.96</v>
      </c>
      <c r="D23" s="24"/>
      <c r="E23" s="24"/>
      <c r="F23" s="24"/>
      <c r="G23" s="25"/>
      <c r="I23" s="59"/>
      <c r="J23" s="24"/>
      <c r="K23" s="24"/>
      <c r="L23" s="24"/>
      <c r="M23" s="24"/>
      <c r="N23" s="24"/>
      <c r="O23" s="24"/>
      <c r="P23" s="24"/>
      <c r="Q23" s="24"/>
      <c r="R23" s="24"/>
      <c r="S23" s="60"/>
    </row>
    <row r="24" spans="1:19">
      <c r="A24" s="27"/>
      <c r="B24" s="24"/>
      <c r="C24" s="24"/>
      <c r="D24" s="24"/>
      <c r="E24" s="24"/>
      <c r="F24" s="24"/>
      <c r="G24" s="25"/>
      <c r="I24" s="59"/>
      <c r="J24" s="24"/>
      <c r="K24" s="24"/>
      <c r="L24" s="24"/>
      <c r="M24" s="24"/>
      <c r="N24" s="24"/>
      <c r="O24" s="24"/>
      <c r="P24" s="24"/>
      <c r="Q24" s="24"/>
      <c r="R24" s="24"/>
      <c r="S24" s="60"/>
    </row>
    <row r="25" spans="1:19">
      <c r="A25" s="27" t="s">
        <v>4</v>
      </c>
      <c r="B25" s="24"/>
      <c r="C25" s="24">
        <f>C21*C21</f>
        <v>3.8415999999999997</v>
      </c>
      <c r="D25" s="24"/>
      <c r="E25" s="24"/>
      <c r="F25" s="24"/>
      <c r="G25" s="25"/>
      <c r="I25" s="59"/>
      <c r="J25" s="24"/>
      <c r="K25" s="24"/>
      <c r="L25" s="24"/>
      <c r="M25" s="24"/>
      <c r="N25" s="24"/>
      <c r="O25" s="24"/>
      <c r="P25" s="24"/>
      <c r="Q25" s="24"/>
      <c r="R25" s="24"/>
      <c r="S25" s="60"/>
    </row>
    <row r="26" spans="1:19">
      <c r="A26" s="27" t="s">
        <v>5</v>
      </c>
      <c r="B26" s="24"/>
      <c r="C26" s="28">
        <f>B15-1</f>
        <v>1000199</v>
      </c>
      <c r="D26" s="28"/>
      <c r="E26" s="24"/>
      <c r="F26" s="24"/>
      <c r="G26" s="25"/>
      <c r="I26" s="59"/>
      <c r="J26" s="24"/>
      <c r="K26" s="24"/>
      <c r="L26" s="24"/>
      <c r="M26" s="24"/>
      <c r="N26" s="24"/>
      <c r="O26" s="24"/>
      <c r="P26" s="24"/>
      <c r="Q26" s="24"/>
      <c r="R26" s="24"/>
      <c r="S26" s="60"/>
    </row>
    <row r="27" spans="1:19">
      <c r="A27" s="33" t="s">
        <v>7</v>
      </c>
      <c r="B27" s="34"/>
      <c r="C27" s="34">
        <f>C20*C20</f>
        <v>1.0000000000000002E-2</v>
      </c>
      <c r="D27" s="34"/>
      <c r="E27" s="34"/>
      <c r="F27" s="34"/>
      <c r="G27" s="35"/>
      <c r="I27" s="59"/>
      <c r="J27" s="24"/>
      <c r="K27" s="24"/>
      <c r="L27" s="24"/>
      <c r="M27" s="24"/>
      <c r="N27" s="24"/>
      <c r="O27" s="24"/>
      <c r="P27" s="24"/>
      <c r="Q27" s="24"/>
      <c r="R27" s="24"/>
      <c r="S27" s="60"/>
    </row>
    <row r="28" spans="1:19">
      <c r="I28" s="59"/>
      <c r="J28" s="24"/>
      <c r="K28" s="24"/>
      <c r="L28" s="24"/>
      <c r="M28" s="24"/>
      <c r="N28" s="24"/>
      <c r="O28" s="24"/>
      <c r="P28" s="24"/>
      <c r="Q28" s="24"/>
      <c r="R28" s="24"/>
      <c r="S28" s="60"/>
    </row>
    <row r="29" spans="1:19">
      <c r="I29" s="59"/>
      <c r="J29" s="24"/>
      <c r="K29" s="24"/>
      <c r="L29" s="24"/>
      <c r="M29" s="24"/>
      <c r="N29" s="24"/>
      <c r="O29" s="24"/>
      <c r="P29" s="24"/>
      <c r="Q29" s="24"/>
      <c r="R29" s="24"/>
      <c r="S29" s="60"/>
    </row>
    <row r="30" spans="1:19">
      <c r="I30" s="59"/>
      <c r="J30" s="24"/>
      <c r="K30" s="24"/>
      <c r="L30" s="24"/>
      <c r="M30" s="24"/>
      <c r="N30" s="24"/>
      <c r="O30" s="24"/>
      <c r="P30" s="24"/>
      <c r="Q30" s="24"/>
      <c r="R30" s="24"/>
      <c r="S30" s="60"/>
    </row>
    <row r="31" spans="1:19">
      <c r="I31" s="59"/>
      <c r="J31" s="24"/>
      <c r="K31" s="24"/>
      <c r="L31" s="24"/>
      <c r="M31" s="24"/>
      <c r="N31" s="24"/>
      <c r="O31" s="24"/>
      <c r="P31" s="24"/>
      <c r="Q31" s="24"/>
      <c r="R31" s="24"/>
      <c r="S31" s="60"/>
    </row>
    <row r="32" spans="1:19">
      <c r="I32" s="59"/>
      <c r="J32" s="24"/>
      <c r="K32" s="24"/>
      <c r="L32" s="24"/>
      <c r="M32" s="24"/>
      <c r="N32" s="24"/>
      <c r="O32" s="24"/>
      <c r="P32" s="24"/>
      <c r="Q32" s="24"/>
      <c r="R32" s="24"/>
      <c r="S32" s="60"/>
    </row>
    <row r="33" spans="9:19">
      <c r="I33" s="59"/>
      <c r="J33" s="24"/>
      <c r="K33" s="24"/>
      <c r="L33" s="24"/>
      <c r="M33" s="24"/>
      <c r="N33" s="24"/>
      <c r="O33" s="24"/>
      <c r="P33" s="24"/>
      <c r="Q33" s="24"/>
      <c r="R33" s="24"/>
      <c r="S33" s="60"/>
    </row>
    <row r="34" spans="9:19">
      <c r="I34" s="59"/>
      <c r="J34" s="24"/>
      <c r="K34" s="24"/>
      <c r="L34" s="24"/>
      <c r="M34" s="24"/>
      <c r="N34" s="24"/>
      <c r="O34" s="24"/>
      <c r="P34" s="24"/>
      <c r="Q34" s="24"/>
      <c r="R34" s="24"/>
      <c r="S34" s="60"/>
    </row>
    <row r="35" spans="9:19">
      <c r="I35" s="59"/>
      <c r="J35" s="24"/>
      <c r="K35" s="24"/>
      <c r="L35" s="24"/>
      <c r="M35" s="24"/>
      <c r="N35" s="24"/>
      <c r="O35" s="24"/>
      <c r="P35" s="24"/>
      <c r="Q35" s="24"/>
      <c r="R35" s="24"/>
      <c r="S35" s="60"/>
    </row>
    <row r="36" spans="9:19">
      <c r="I36" s="59"/>
      <c r="J36" s="24"/>
      <c r="K36" s="24"/>
      <c r="L36" s="24"/>
      <c r="M36" s="24"/>
      <c r="N36" s="24"/>
      <c r="O36" s="24"/>
      <c r="P36" s="24"/>
      <c r="Q36" s="24"/>
      <c r="R36" s="24"/>
      <c r="S36" s="60"/>
    </row>
    <row r="37" spans="9:19" ht="15.75" thickBot="1">
      <c r="I37" s="61"/>
      <c r="J37" s="62"/>
      <c r="K37" s="62"/>
      <c r="L37" s="62"/>
      <c r="M37" s="62"/>
      <c r="N37" s="62"/>
      <c r="O37" s="62"/>
      <c r="P37" s="62"/>
      <c r="Q37" s="62"/>
      <c r="R37" s="62"/>
      <c r="S37" s="63"/>
    </row>
  </sheetData>
  <mergeCells count="2">
    <mergeCell ref="A10:G10"/>
    <mergeCell ref="I10:S10"/>
  </mergeCells>
  <dataValidations count="1">
    <dataValidation type="list" allowBlank="1" showInputMessage="1" showErrorMessage="1" sqref="B21">
      <formula1>$B$22:$B$23</formula1>
    </dataValidation>
  </dataValidation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T37"/>
  <sheetViews>
    <sheetView workbookViewId="0">
      <selection activeCell="E32" sqref="E32"/>
    </sheetView>
  </sheetViews>
  <sheetFormatPr defaultRowHeight="15"/>
  <cols>
    <col min="1" max="1" width="21" style="12" bestFit="1" customWidth="1"/>
    <col min="2" max="2" width="22.5703125" style="12" bestFit="1" customWidth="1"/>
    <col min="3" max="3" width="10.5703125" style="12" bestFit="1" customWidth="1"/>
    <col min="4" max="4" width="10.5703125" style="12" customWidth="1"/>
    <col min="5" max="6" width="18.7109375" style="12" bestFit="1" customWidth="1"/>
    <col min="7" max="7" width="11.85546875" style="12" customWidth="1"/>
    <col min="8" max="8" width="17.140625" style="12" customWidth="1"/>
    <col min="9" max="9" width="12" style="12" bestFit="1" customWidth="1"/>
    <col min="10" max="10" width="9.140625" style="12"/>
    <col min="11" max="11" width="11.5703125" style="12" customWidth="1"/>
    <col min="12" max="16384" width="9.140625" style="12"/>
  </cols>
  <sheetData>
    <row r="3" spans="1:20" ht="68.25" customHeight="1">
      <c r="A3" s="16" t="s">
        <v>10</v>
      </c>
      <c r="B3" s="16" t="s">
        <v>15</v>
      </c>
      <c r="C3" s="16" t="s">
        <v>16</v>
      </c>
      <c r="D3" s="17" t="s">
        <v>36</v>
      </c>
      <c r="E3" s="44" t="s">
        <v>37</v>
      </c>
      <c r="F3" s="44" t="s">
        <v>31</v>
      </c>
      <c r="G3" s="17" t="s">
        <v>29</v>
      </c>
      <c r="H3" s="17" t="s">
        <v>30</v>
      </c>
      <c r="K3" s="39" t="s">
        <v>27</v>
      </c>
    </row>
    <row r="4" spans="1:20">
      <c r="A4" s="55" t="s">
        <v>45</v>
      </c>
      <c r="B4" s="18">
        <f>'lppd-mean'!B4</f>
        <v>372537</v>
      </c>
      <c r="C4" s="46">
        <f>B4/(SUM($B$4:$B$8))</f>
        <v>0.18545444770181288</v>
      </c>
      <c r="D4" s="19">
        <f>ROUNDUP(1000000*C4,-2)</f>
        <v>185500</v>
      </c>
      <c r="E4" s="47">
        <v>0.91</v>
      </c>
      <c r="F4" s="48">
        <f>1-E4</f>
        <v>8.9999999999999969E-2</v>
      </c>
      <c r="G4" s="45">
        <f>D4*E4*F4</f>
        <v>15192.449999999995</v>
      </c>
      <c r="H4" s="45">
        <f>D4*E4</f>
        <v>168805</v>
      </c>
      <c r="K4" s="43">
        <f>$B$11*C4</f>
        <v>5.9109591061293045</v>
      </c>
      <c r="M4" s="32"/>
      <c r="P4" s="22"/>
    </row>
    <row r="5" spans="1:20">
      <c r="A5" s="55" t="s">
        <v>46</v>
      </c>
      <c r="B5" s="18">
        <f>'lppd-mean'!B5</f>
        <v>312466</v>
      </c>
      <c r="C5" s="46">
        <f t="shared" ref="C5:C8" si="0">B5/(SUM($B$4:$B$8))</f>
        <v>0.15555021234292074</v>
      </c>
      <c r="D5" s="19">
        <f t="shared" ref="D5:D8" si="1">ROUNDUP(1000000*C5,-2)</f>
        <v>155600</v>
      </c>
      <c r="E5" s="47">
        <v>0.92</v>
      </c>
      <c r="F5" s="48">
        <f t="shared" ref="F5:F8" si="2">1-E5</f>
        <v>7.999999999999996E-2</v>
      </c>
      <c r="G5" s="45">
        <f t="shared" ref="G5:G8" si="3">D5*E5*F5</f>
        <v>11452.159999999994</v>
      </c>
      <c r="H5" s="45">
        <f t="shared" ref="H5:H8" si="4">D5*E5</f>
        <v>143152</v>
      </c>
      <c r="K5" s="43">
        <f>$B$11*C5</f>
        <v>4.9578263314940507</v>
      </c>
      <c r="M5" s="32"/>
      <c r="P5" s="22"/>
    </row>
    <row r="6" spans="1:20">
      <c r="A6" s="55" t="s">
        <v>47</v>
      </c>
      <c r="B6" s="18">
        <f>'lppd-mean'!B6</f>
        <v>396315</v>
      </c>
      <c r="C6" s="46">
        <f t="shared" si="0"/>
        <v>0.19729148900899501</v>
      </c>
      <c r="D6" s="19">
        <f t="shared" si="1"/>
        <v>197300</v>
      </c>
      <c r="E6" s="47">
        <v>0.93</v>
      </c>
      <c r="F6" s="48">
        <f t="shared" si="2"/>
        <v>6.9999999999999951E-2</v>
      </c>
      <c r="G6" s="45">
        <f t="shared" si="3"/>
        <v>12844.22999999999</v>
      </c>
      <c r="H6" s="45">
        <f t="shared" si="4"/>
        <v>183489</v>
      </c>
      <c r="K6" s="43">
        <f>$B$11*C6</f>
        <v>6.2882391766338257</v>
      </c>
      <c r="M6" s="32"/>
      <c r="P6" s="22"/>
    </row>
    <row r="7" spans="1:20">
      <c r="A7" s="55" t="s">
        <v>48</v>
      </c>
      <c r="B7" s="18">
        <f>'lppd-mean'!B7</f>
        <v>727175</v>
      </c>
      <c r="C7" s="46">
        <f t="shared" si="0"/>
        <v>0.36199850755110441</v>
      </c>
      <c r="D7" s="19">
        <f t="shared" si="1"/>
        <v>362000</v>
      </c>
      <c r="E7" s="47">
        <v>0.94</v>
      </c>
      <c r="F7" s="48">
        <f t="shared" si="2"/>
        <v>6.0000000000000053E-2</v>
      </c>
      <c r="G7" s="45">
        <f t="shared" si="3"/>
        <v>20416.800000000017</v>
      </c>
      <c r="H7" s="45">
        <f t="shared" si="4"/>
        <v>340280</v>
      </c>
      <c r="K7" s="43">
        <f>$B$11*C7</f>
        <v>11.537918885908184</v>
      </c>
      <c r="M7" s="32"/>
      <c r="P7" s="22"/>
    </row>
    <row r="8" spans="1:20">
      <c r="A8" s="55" t="s">
        <v>49</v>
      </c>
      <c r="B8" s="18">
        <f>'lppd-mean'!B8</f>
        <v>200286</v>
      </c>
      <c r="C8" s="46">
        <f t="shared" si="0"/>
        <v>9.9705343395166915E-2</v>
      </c>
      <c r="D8" s="19">
        <f t="shared" si="1"/>
        <v>99800</v>
      </c>
      <c r="E8" s="47">
        <v>0.95</v>
      </c>
      <c r="F8" s="48">
        <f t="shared" si="2"/>
        <v>5.0000000000000044E-2</v>
      </c>
      <c r="G8" s="45">
        <f t="shared" si="3"/>
        <v>4740.5000000000045</v>
      </c>
      <c r="H8" s="45">
        <f t="shared" si="4"/>
        <v>94810</v>
      </c>
      <c r="K8" s="43">
        <f>$B$11*C8</f>
        <v>3.1778920094654062</v>
      </c>
      <c r="M8" s="32"/>
      <c r="P8" s="22"/>
    </row>
    <row r="9" spans="1:20" ht="15.75" thickBot="1">
      <c r="D9" s="15">
        <f>SUM(D4:D8)</f>
        <v>1000200</v>
      </c>
      <c r="E9" s="15"/>
      <c r="M9" s="32"/>
    </row>
    <row r="10" spans="1:20">
      <c r="A10" s="85" t="s">
        <v>44</v>
      </c>
      <c r="B10" s="86"/>
      <c r="C10" s="86"/>
      <c r="D10" s="86"/>
      <c r="E10" s="86"/>
      <c r="F10" s="86"/>
      <c r="G10" s="87"/>
      <c r="I10" s="91" t="s">
        <v>50</v>
      </c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3"/>
    </row>
    <row r="11" spans="1:20">
      <c r="A11" s="12" t="s">
        <v>8</v>
      </c>
      <c r="B11" s="23">
        <f>B13/(1-B12)</f>
        <v>31.872835509630772</v>
      </c>
      <c r="C11" s="24"/>
      <c r="D11" s="24"/>
      <c r="E11" s="24"/>
      <c r="F11" s="24"/>
      <c r="G11" s="25"/>
      <c r="I11" s="59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60"/>
    </row>
    <row r="12" spans="1:20">
      <c r="A12" s="12" t="s">
        <v>9</v>
      </c>
      <c r="B12" s="26">
        <v>0.1</v>
      </c>
      <c r="C12" s="24"/>
      <c r="D12" s="24"/>
      <c r="E12" s="24"/>
      <c r="F12" s="24"/>
      <c r="G12" s="25"/>
      <c r="I12" s="59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60"/>
    </row>
    <row r="13" spans="1:20">
      <c r="A13" s="24" t="s">
        <v>0</v>
      </c>
      <c r="B13" s="28">
        <f>C25*B15*B16/(C26*C27+C25*B16)</f>
        <v>28.685551958667695</v>
      </c>
      <c r="C13" s="24"/>
      <c r="D13" s="24"/>
      <c r="E13" s="24"/>
      <c r="F13" s="24"/>
      <c r="G13" s="25"/>
      <c r="I13" s="59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60"/>
    </row>
    <row r="14" spans="1:20">
      <c r="A14" s="27"/>
      <c r="B14" s="28"/>
      <c r="C14" s="24"/>
      <c r="D14" s="24"/>
      <c r="E14" s="24"/>
      <c r="F14" s="24"/>
      <c r="G14" s="25"/>
      <c r="I14" s="59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60"/>
    </row>
    <row r="15" spans="1:20">
      <c r="A15" s="27" t="s">
        <v>1</v>
      </c>
      <c r="B15" s="28">
        <f>D9</f>
        <v>1000200</v>
      </c>
      <c r="C15" s="24"/>
      <c r="D15" s="24"/>
      <c r="E15" s="24"/>
      <c r="F15" s="24"/>
      <c r="G15" s="25"/>
      <c r="I15" s="59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60"/>
    </row>
    <row r="16" spans="1:20">
      <c r="A16" s="27" t="s">
        <v>24</v>
      </c>
      <c r="B16" s="14">
        <f>POWER((B17/B18),2)</f>
        <v>7.4672912322929275E-2</v>
      </c>
      <c r="C16" s="24"/>
      <c r="D16" s="24"/>
      <c r="E16" s="24"/>
      <c r="F16" s="24"/>
      <c r="G16" s="25"/>
      <c r="I16" s="59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60"/>
    </row>
    <row r="17" spans="1:20">
      <c r="A17" s="27" t="s">
        <v>25</v>
      </c>
      <c r="B17" s="29">
        <f xml:space="preserve"> SQRT(SUM(G4:G8)/D9)</f>
        <v>0.25423063025003212</v>
      </c>
      <c r="C17" s="24"/>
      <c r="D17" s="24"/>
      <c r="E17" s="24"/>
      <c r="F17" s="24"/>
      <c r="G17" s="25"/>
      <c r="I17" s="59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60"/>
    </row>
    <row r="18" spans="1:20">
      <c r="A18" s="27" t="s">
        <v>33</v>
      </c>
      <c r="B18" s="30">
        <f>SUM(H4:H8)/D9</f>
        <v>0.93034993001399724</v>
      </c>
      <c r="C18" s="24"/>
      <c r="D18" s="24"/>
      <c r="E18" s="24"/>
      <c r="F18" s="24"/>
      <c r="G18" s="25"/>
      <c r="I18" s="59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60"/>
    </row>
    <row r="19" spans="1:20">
      <c r="B19" s="24"/>
      <c r="C19" s="24"/>
      <c r="D19" s="24"/>
      <c r="E19" s="24"/>
      <c r="F19" s="24"/>
      <c r="G19" s="25"/>
      <c r="I19" s="59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60"/>
    </row>
    <row r="20" spans="1:20">
      <c r="A20" s="27" t="s">
        <v>6</v>
      </c>
      <c r="B20" s="38">
        <v>0.1</v>
      </c>
      <c r="C20" s="24">
        <v>0.1</v>
      </c>
      <c r="D20" s="24"/>
      <c r="E20" s="24"/>
      <c r="G20" s="25"/>
      <c r="I20" s="59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60"/>
    </row>
    <row r="21" spans="1:20">
      <c r="A21" s="27" t="s">
        <v>2</v>
      </c>
      <c r="B21" s="38">
        <v>0.95</v>
      </c>
      <c r="C21" s="24">
        <f>IF(B21=B22,C22,C23)</f>
        <v>1.96</v>
      </c>
      <c r="D21" s="24"/>
      <c r="E21" s="24"/>
      <c r="G21" s="25"/>
      <c r="H21" s="11"/>
      <c r="I21" s="59"/>
      <c r="J21" s="40"/>
      <c r="K21" s="24"/>
      <c r="L21" s="40"/>
      <c r="M21" s="24"/>
      <c r="N21" s="24"/>
      <c r="O21" s="24"/>
      <c r="P21" s="24"/>
      <c r="Q21" s="24"/>
      <c r="R21" s="24"/>
      <c r="S21" s="24"/>
      <c r="T21" s="60"/>
    </row>
    <row r="22" spans="1:20">
      <c r="A22" s="27" t="s">
        <v>3</v>
      </c>
      <c r="B22" s="31">
        <v>0.9</v>
      </c>
      <c r="C22" s="24">
        <v>1.645</v>
      </c>
      <c r="D22" s="24"/>
      <c r="E22" s="24"/>
      <c r="G22" s="25"/>
      <c r="H22" s="13"/>
      <c r="I22" s="59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60"/>
    </row>
    <row r="23" spans="1:20">
      <c r="A23" s="27"/>
      <c r="B23" s="31">
        <v>0.95</v>
      </c>
      <c r="C23" s="24">
        <v>1.96</v>
      </c>
      <c r="D23" s="24"/>
      <c r="E23" s="24"/>
      <c r="F23" s="24"/>
      <c r="G23" s="25"/>
      <c r="I23" s="59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60"/>
    </row>
    <row r="24" spans="1:20">
      <c r="A24" s="27"/>
      <c r="B24" s="24"/>
      <c r="C24" s="24"/>
      <c r="D24" s="24"/>
      <c r="E24" s="24"/>
      <c r="F24" s="24"/>
      <c r="G24" s="25"/>
      <c r="I24" s="59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60"/>
    </row>
    <row r="25" spans="1:20">
      <c r="A25" s="27" t="s">
        <v>4</v>
      </c>
      <c r="B25" s="24"/>
      <c r="C25" s="24">
        <f>C21*C21</f>
        <v>3.8415999999999997</v>
      </c>
      <c r="D25" s="24"/>
      <c r="E25" s="24"/>
      <c r="F25" s="24"/>
      <c r="G25" s="25"/>
      <c r="I25" s="59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60"/>
    </row>
    <row r="26" spans="1:20">
      <c r="A26" s="27" t="s">
        <v>5</v>
      </c>
      <c r="B26" s="24"/>
      <c r="C26" s="28">
        <f>B15-1</f>
        <v>1000199</v>
      </c>
      <c r="D26" s="28"/>
      <c r="E26" s="24"/>
      <c r="F26" s="24"/>
      <c r="G26" s="25"/>
      <c r="I26" s="59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60"/>
    </row>
    <row r="27" spans="1:20">
      <c r="A27" s="33" t="s">
        <v>7</v>
      </c>
      <c r="B27" s="34"/>
      <c r="C27" s="34">
        <f>C20*C20</f>
        <v>1.0000000000000002E-2</v>
      </c>
      <c r="D27" s="34"/>
      <c r="E27" s="34"/>
      <c r="F27" s="34"/>
      <c r="G27" s="35"/>
      <c r="I27" s="59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60"/>
    </row>
    <row r="28" spans="1:20">
      <c r="I28" s="59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60"/>
    </row>
    <row r="29" spans="1:20">
      <c r="I29" s="59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60"/>
    </row>
    <row r="30" spans="1:20">
      <c r="I30" s="59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60"/>
    </row>
    <row r="31" spans="1:20">
      <c r="I31" s="59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60"/>
    </row>
    <row r="32" spans="1:20">
      <c r="I32" s="59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60"/>
    </row>
    <row r="33" spans="9:20">
      <c r="I33" s="59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60"/>
    </row>
    <row r="34" spans="9:20">
      <c r="I34" s="59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60"/>
    </row>
    <row r="35" spans="9:20">
      <c r="I35" s="59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60"/>
    </row>
    <row r="36" spans="9:20">
      <c r="I36" s="59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60"/>
    </row>
    <row r="37" spans="9:20" ht="15.75" thickBot="1">
      <c r="I37" s="61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3"/>
    </row>
  </sheetData>
  <mergeCells count="2">
    <mergeCell ref="A10:G10"/>
    <mergeCell ref="I10:T10"/>
  </mergeCells>
  <dataValidations count="1">
    <dataValidation type="list" allowBlank="1" showInputMessage="1" showErrorMessage="1" sqref="B21">
      <formula1>$B$22:$B$23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stratified random sampling (2)</vt:lpstr>
      <vt:lpstr>Cover Page</vt:lpstr>
      <vt:lpstr>lppd-mean</vt:lpstr>
      <vt:lpstr>n-mean</vt:lpstr>
      <vt:lpstr>FRAC oc</vt:lpstr>
      <vt:lpstr>FRAC pdn</vt:lpstr>
      <vt:lpstr>Water Quality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2013-05-15T07:02:45Z</dcterms:modified>
</cp:coreProperties>
</file>