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DF2" lockStructure="1"/>
  <bookViews>
    <workbookView xWindow="480" yWindow="135" windowWidth="18195" windowHeight="11760"/>
  </bookViews>
  <sheets>
    <sheet name="Title &amp; version" sheetId="9" r:id="rId1"/>
    <sheet name="SRS - Mean" sheetId="1" r:id="rId2"/>
    <sheet name="SRS - Proportion" sheetId="4" r:id="rId3"/>
    <sheet name="Stratified - Mean" sheetId="8" r:id="rId4"/>
    <sheet name="Stratified - Proportion" sheetId="5" r:id="rId5"/>
    <sheet name="Doc Info" sheetId="10" r:id="rId6"/>
  </sheets>
  <calcPr calcId="145621"/>
</workbook>
</file>

<file path=xl/calcChain.xml><?xml version="1.0" encoding="utf-8"?>
<calcChain xmlns="http://schemas.openxmlformats.org/spreadsheetml/2006/main">
  <c r="K37" i="8" l="1"/>
  <c r="K40" i="8"/>
  <c r="K42" i="8"/>
  <c r="K44" i="8"/>
  <c r="C36" i="8"/>
  <c r="C37" i="8"/>
  <c r="C37" i="5"/>
  <c r="G9" i="5"/>
  <c r="G9" i="8"/>
  <c r="K38" i="8" l="1"/>
  <c r="K35" i="8"/>
  <c r="C38" i="8" s="1"/>
  <c r="K43" i="8"/>
  <c r="K39" i="8"/>
  <c r="K41" i="8"/>
  <c r="K36" i="8"/>
  <c r="J38" i="5"/>
  <c r="J42" i="5"/>
  <c r="J39" i="5"/>
  <c r="J43" i="5"/>
  <c r="J40" i="5"/>
  <c r="J44" i="5"/>
  <c r="J41" i="5"/>
  <c r="C36" i="5"/>
  <c r="J35" i="5"/>
  <c r="J37" i="5"/>
  <c r="C20" i="4"/>
  <c r="C35" i="4" s="1"/>
  <c r="C36" i="4" s="1"/>
  <c r="C34" i="4"/>
  <c r="C37" i="1"/>
  <c r="C38" i="1"/>
  <c r="C39" i="1" s="1"/>
  <c r="C40" i="1" s="1"/>
  <c r="C25" i="8" l="1"/>
  <c r="C21" i="8"/>
  <c r="C39" i="8" s="1"/>
  <c r="D10" i="8"/>
  <c r="C25" i="5"/>
  <c r="C21" i="5"/>
  <c r="D10" i="5"/>
  <c r="C23" i="8" l="1"/>
  <c r="C24" i="8" s="1"/>
  <c r="C26" i="8" s="1"/>
  <c r="C22" i="8"/>
  <c r="C23" i="5"/>
  <c r="C22" i="5"/>
  <c r="C23" i="4"/>
  <c r="D10" i="4"/>
  <c r="J13" i="8" l="1"/>
  <c r="C24" i="5"/>
  <c r="C26" i="5" s="1"/>
  <c r="J20" i="8"/>
  <c r="J19" i="8"/>
  <c r="J18" i="8"/>
  <c r="J17" i="8"/>
  <c r="J16" i="8"/>
  <c r="J22" i="8"/>
  <c r="J15" i="8"/>
  <c r="J14" i="8"/>
  <c r="J21" i="8"/>
  <c r="D11" i="1"/>
  <c r="C22" i="1"/>
  <c r="C25" i="1" s="1"/>
  <c r="I36" i="5" l="1"/>
  <c r="J36" i="5" s="1"/>
  <c r="C38" i="5" s="1"/>
  <c r="C39" i="5" s="1"/>
  <c r="I16" i="5"/>
  <c r="C27" i="8"/>
  <c r="I17" i="5"/>
  <c r="I20" i="5"/>
  <c r="I21" i="5"/>
  <c r="I22" i="5"/>
  <c r="I18" i="5"/>
  <c r="I19" i="5"/>
  <c r="I15" i="5"/>
  <c r="I13" i="5"/>
  <c r="I14" i="5"/>
  <c r="C27" i="5" l="1"/>
</calcChain>
</file>

<file path=xl/comments1.xml><?xml version="1.0" encoding="utf-8"?>
<comments xmlns="http://schemas.openxmlformats.org/spreadsheetml/2006/main">
  <authors>
    <author>Alessandro A. Leidi</author>
  </authors>
  <commentList>
    <comment ref="G11" authorId="0">
      <text>
        <r>
          <rPr>
            <sz val="9"/>
            <color indexed="81"/>
            <rFont val="Tahoma"/>
            <family val="2"/>
          </rPr>
          <t>Input value on a decimal scale</t>
        </r>
      </text>
    </comment>
    <comment ref="G33" authorId="0">
      <text>
        <r>
          <rPr>
            <sz val="9"/>
            <color indexed="81"/>
            <rFont val="Tahoma"/>
            <family val="2"/>
          </rPr>
          <t>Input value on a decimal scale</t>
        </r>
      </text>
    </comment>
  </commentList>
</comments>
</file>

<file path=xl/comments2.xml><?xml version="1.0" encoding="utf-8"?>
<comments xmlns="http://schemas.openxmlformats.org/spreadsheetml/2006/main">
  <authors>
    <author>Alessandro A. Leidi</author>
  </authors>
  <commentList>
    <comment ref="G11" authorId="0">
      <text>
        <r>
          <rPr>
            <sz val="9"/>
            <color indexed="81"/>
            <rFont val="Tahoma"/>
            <family val="2"/>
          </rPr>
          <t>Input value on a decimal scale</t>
        </r>
      </text>
    </comment>
    <comment ref="G33" authorId="0">
      <text>
        <r>
          <rPr>
            <sz val="9"/>
            <color indexed="81"/>
            <rFont val="Tahoma"/>
            <family val="2"/>
          </rPr>
          <t>Input value on a decimal scale</t>
        </r>
      </text>
    </comment>
  </commentList>
</comments>
</file>

<file path=xl/sharedStrings.xml><?xml version="1.0" encoding="utf-8"?>
<sst xmlns="http://schemas.openxmlformats.org/spreadsheetml/2006/main" count="206" uniqueCount="91">
  <si>
    <t>Sample Size Determination for a Mean Parameter</t>
  </si>
  <si>
    <t>Value</t>
  </si>
  <si>
    <t>Notes</t>
  </si>
  <si>
    <t>Input</t>
  </si>
  <si>
    <t>Calculation method: Precision via confidence interval</t>
  </si>
  <si>
    <t>Survey design: Simple random sampling</t>
  </si>
  <si>
    <t>Confidence level</t>
  </si>
  <si>
    <t>e.g. for 90% enter 90</t>
  </si>
  <si>
    <t>Expected mean</t>
  </si>
  <si>
    <t>Relative precision</t>
  </si>
  <si>
    <t>Expected standard deviation</t>
  </si>
  <si>
    <t>Population size, N</t>
  </si>
  <si>
    <t>Predicted sample size, n</t>
  </si>
  <si>
    <t>e.g. for 10% enter 10</t>
  </si>
  <si>
    <t>z multiplier</t>
  </si>
  <si>
    <t>determined by confidence level</t>
  </si>
  <si>
    <t>Sample Size Determination for a Proportion Parameter</t>
  </si>
  <si>
    <t>Expected proportion, p</t>
  </si>
  <si>
    <t>rounded up to nearest integer</t>
  </si>
  <si>
    <t>enter on a decimal scale</t>
  </si>
  <si>
    <t>Survey design: Stratified random sampling</t>
  </si>
  <si>
    <t>number of strata</t>
  </si>
  <si>
    <t>determined by stratum inputs</t>
  </si>
  <si>
    <t>confidence/precision criterion</t>
  </si>
  <si>
    <t>Overall mean</t>
  </si>
  <si>
    <t>Overall proportion</t>
  </si>
  <si>
    <t>Overall variance</t>
  </si>
  <si>
    <t>V, ratio of variance to proportion squared</t>
  </si>
  <si>
    <t>V, ratio of variance to mean squared</t>
  </si>
  <si>
    <t>Based on proportional allocation</t>
  </si>
  <si>
    <t>FINAL SAMPLE SIZE</t>
  </si>
  <si>
    <t>Individual stratum sample sizes in column H summing to</t>
  </si>
  <si>
    <t>Individual stratum sample sizes in column G summing to</t>
  </si>
  <si>
    <t>Input information in cells coloured in orange</t>
  </si>
  <si>
    <t>Outputs are displayed in cells coloured in green</t>
  </si>
  <si>
    <t>Instruction for using this calculator</t>
  </si>
  <si>
    <t xml:space="preserve">expected </t>
  </si>
  <si>
    <t>mean, m</t>
  </si>
  <si>
    <t>expected standard</t>
  </si>
  <si>
    <t xml:space="preserve"> deviation, s</t>
  </si>
  <si>
    <t xml:space="preserve">population </t>
  </si>
  <si>
    <t>size, g</t>
  </si>
  <si>
    <t xml:space="preserve">proportional </t>
  </si>
  <si>
    <t>allocation</t>
  </si>
  <si>
    <t>stratum</t>
  </si>
  <si>
    <t xml:space="preserve"> number</t>
  </si>
  <si>
    <t xml:space="preserve">stratum </t>
  </si>
  <si>
    <t>number</t>
  </si>
  <si>
    <t>proportion, p</t>
  </si>
  <si>
    <t>population</t>
  </si>
  <si>
    <t xml:space="preserve"> size, g</t>
  </si>
  <si>
    <t>Document information</t>
  </si>
  <si>
    <t>Version</t>
  </si>
  <si>
    <t>Date</t>
  </si>
  <si>
    <t>Description</t>
  </si>
  <si>
    <t>Editorially revised to remove “draft” from paragraph 3 and amended title for readability.</t>
  </si>
  <si>
    <t>Decision Class: Regulatory</t>
  </si>
  <si>
    <t>Document Type: Guideline</t>
  </si>
  <si>
    <t>Business Function: Methodology</t>
  </si>
  <si>
    <t>EB 75, Annex 8.
Revision to include additional best practices examples for single sampling plan, pragmatic approaches to reliability calculations and a flow chart to select the most appropriate sampling plan for a given situation.</t>
  </si>
  <si>
    <t>EB 69, Annex 5.
Revisions are:
• To include examples to illustrate acceptance sampling as one means of verifying the sampling records of the project proponent;
• To include examples for possible methods to deal with failure to achieve reliability including scrutiny of the data, post stratification, adding more sample units;
• To delete examples of how to deal with very small or very large proportions in the context of simple random sampling due to the new proposed requirement on the minimum sample size;
• To change the title of this draft from "Best practice examples focusing on sample size and reliability calculations and sampling for validation/verification" to "Guidelines for sampling and surveys for CDM project activities and programme of activities".</t>
  </si>
  <si>
    <t>03.0</t>
  </si>
  <si>
    <t>02.0</t>
  </si>
  <si>
    <t>01.1</t>
  </si>
  <si>
    <t>01.0</t>
  </si>
  <si>
    <t>EB 67, Annex 6.
Initial adoption.</t>
  </si>
  <si>
    <t xml:space="preserve">Keywords: DOE, calculations, programme of activities, project activities, sampling, SSC project activities,  </t>
  </si>
  <si>
    <t>validation</t>
  </si>
  <si>
    <t xml:space="preserve">Revision to include Appendix 6 sample size calculator worksheets as requested by the Board in CDM EB 80, paragraph 34.  </t>
  </si>
  <si>
    <t>Actual sample size</t>
  </si>
  <si>
    <t>Sample mean</t>
  </si>
  <si>
    <t>Sample standard deviation</t>
  </si>
  <si>
    <t>t-value associated with confidence level</t>
  </si>
  <si>
    <t>Standard error of the mean</t>
  </si>
  <si>
    <t>t-value</t>
  </si>
  <si>
    <t>Abosolute precision</t>
  </si>
  <si>
    <t>Sample proportion</t>
  </si>
  <si>
    <t>Standard error of the proportion</t>
  </si>
  <si>
    <t>Precision associated with a proportion</t>
  </si>
  <si>
    <t>actual</t>
  </si>
  <si>
    <t>sample size</t>
  </si>
  <si>
    <t>Standard error of the stratified estimated overall proportion</t>
  </si>
  <si>
    <t>Standard error of the stratified estimated overall mean</t>
  </si>
  <si>
    <t>sample</t>
  </si>
  <si>
    <t>sample standard</t>
  </si>
  <si>
    <t xml:space="preserve">sample </t>
  </si>
  <si>
    <t>Calculator to check if the precision has been met or not after a sampling survey is conducted</t>
  </si>
  <si>
    <t>Note:
If the estimates from the actual samples fail to achieve the target minimum levels of precision (e.g. 10%), measures indicated in para. 16 of the sampling standard (ver. 4.1) shall be followed.</t>
  </si>
  <si>
    <t>Note:
1. Requirements for sampling are defined either in the applicable CDM methodology or the "Standard for sampling and surveys for CDM project activities and programme of activities" (sampling standard), with the applicable methodology having precedence. Specific guidance (e.g. the minimum sample size, confidence/precision) in the applicable methodology, if any, shall be followed. (See para. 9 and 10 of the sampling standard (ver. 4.1)) For example, AMS-II.J. (ver. 6.0) requires that the size of the sample shall be no less than 100.
2. If the sample size calculation returns a value of less than 30 samples, a minimum sample size of 30 shall be chosen when the parameter of interest is a proportion. If the parameter of interest is a numeric mean value (i.e. not a proportion or percentage) the Student’s t-distribution shall be used if the resulting sample size is less than 30. (See para. 12 of the sampling standard (ver. 4.1))
3. It is good practice to employ oversampling at the design stage, not only to compensate for any attrition, outliers or non-response associated with the sample, but also to prevent a situation at the analysis stage where the required reliability is not achieved and additional sampling efforts would be required. (See footnote 10 of the sampling standard (ver. 4.1))</t>
  </si>
  <si>
    <t>Note:
If the estimates from the actual samples fail to achieve the target minimum levels of precision (e.g. 10%), measures indicated in para.16 of the sampling standard (ver. 4.1) shall be followed.</t>
  </si>
  <si>
    <t>03.1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</si>
</sst>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_-;\-* #,##0_-;_-* &quot;-&quot;??_-;_-@_-"/>
    <numFmt numFmtId="165" formatCode="0.000"/>
    <numFmt numFmtId="166" formatCode="[$-1809]d\ mmmm\ yyyy;@"/>
    <numFmt numFmtId="167" formatCode="#,##0.0000"/>
    <numFmt numFmtId="168" formatCode="0.0%"/>
    <numFmt numFmtId="169" formatCode="0.00000"/>
    <numFmt numFmtId="170" formatCode="#,##0.00000"/>
    <numFmt numFmtId="171" formatCode="#,##0.000_ ;\-#,##0.000\ "/>
    <numFmt numFmtId="172" formatCode="0.000000"/>
  </numFmts>
  <fonts count="11" x14ac:knownFonts="1">
    <font>
      <sz val="11"/>
      <color theme="1"/>
      <name val="Calibri"/>
      <family val="2"/>
      <scheme val="minor"/>
    </font>
    <font>
      <sz val="11"/>
      <color theme="1"/>
      <name val="Calibri"/>
      <family val="2"/>
      <scheme val="minor"/>
    </font>
    <font>
      <sz val="9"/>
      <color indexed="81"/>
      <name val="Tahoma"/>
      <family val="2"/>
    </font>
    <font>
      <sz val="1"/>
      <color theme="1"/>
      <name val="Arial"/>
      <family val="2"/>
    </font>
    <font>
      <b/>
      <sz val="11"/>
      <color theme="1"/>
      <name val="Arial"/>
      <family val="2"/>
    </font>
    <font>
      <sz val="11"/>
      <color theme="1"/>
      <name val="Arial"/>
      <family val="2"/>
    </font>
    <font>
      <i/>
      <sz val="8"/>
      <color theme="1"/>
      <name val="Arial"/>
      <family val="2"/>
    </font>
    <font>
      <sz val="10"/>
      <color theme="1"/>
      <name val="Arial"/>
      <family val="2"/>
    </font>
    <font>
      <sz val="10"/>
      <name val="Arial"/>
      <family val="2"/>
    </font>
    <font>
      <sz val="11"/>
      <name val="Calibri"/>
      <family val="2"/>
      <scheme val="minor"/>
    </font>
    <font>
      <i/>
      <sz val="11"/>
      <color theme="1"/>
      <name val="Arial"/>
      <family val="2"/>
    </font>
  </fonts>
  <fills count="8">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5">
    <xf numFmtId="0" fontId="0" fillId="0" borderId="0" xfId="0"/>
    <xf numFmtId="0" fontId="0" fillId="0" borderId="0" xfId="0" applyAlignment="1"/>
    <xf numFmtId="0" fontId="3" fillId="0" borderId="0" xfId="0" applyFont="1" applyAlignment="1">
      <alignment horizontal="justify" vertical="center"/>
    </xf>
    <xf numFmtId="0" fontId="0" fillId="0" borderId="0" xfId="0" applyBorder="1"/>
    <xf numFmtId="0" fontId="4" fillId="0" borderId="0" xfId="0" applyFont="1"/>
    <xf numFmtId="1" fontId="0" fillId="0" borderId="0" xfId="0" applyNumberFormat="1"/>
    <xf numFmtId="166" fontId="7" fillId="0" borderId="0" xfId="0" applyNumberFormat="1" applyFont="1" applyAlignment="1">
      <alignment horizontal="left" vertical="top"/>
    </xf>
    <xf numFmtId="0" fontId="7" fillId="0" borderId="0" xfId="0" applyFont="1" applyAlignment="1">
      <alignment horizontal="left" vertical="top" wrapText="1"/>
    </xf>
    <xf numFmtId="49" fontId="7" fillId="0" borderId="0" xfId="0" applyNumberFormat="1" applyFont="1" applyAlignment="1">
      <alignment vertical="top"/>
    </xf>
    <xf numFmtId="49" fontId="7" fillId="0" borderId="2" xfId="0" applyNumberFormat="1" applyFont="1" applyBorder="1" applyAlignment="1">
      <alignment vertical="top"/>
    </xf>
    <xf numFmtId="0" fontId="7" fillId="0" borderId="2" xfId="0" applyFont="1" applyBorder="1"/>
    <xf numFmtId="49" fontId="7" fillId="0" borderId="0" xfId="0" applyNumberFormat="1" applyFont="1" applyBorder="1" applyAlignment="1">
      <alignment vertical="top"/>
    </xf>
    <xf numFmtId="0" fontId="7" fillId="0" borderId="0" xfId="0" applyFont="1" applyBorder="1"/>
    <xf numFmtId="49" fontId="7" fillId="0" borderId="10" xfId="0" applyNumberFormat="1" applyFont="1" applyBorder="1" applyAlignment="1">
      <alignment vertical="top"/>
    </xf>
    <xf numFmtId="0" fontId="7" fillId="0" borderId="10" xfId="0" applyFont="1" applyBorder="1"/>
    <xf numFmtId="0" fontId="6" fillId="0" borderId="11" xfId="0" applyFont="1" applyBorder="1"/>
    <xf numFmtId="0" fontId="0" fillId="0" borderId="0" xfId="0" applyProtection="1">
      <protection locked="0"/>
    </xf>
    <xf numFmtId="0" fontId="4" fillId="5" borderId="1" xfId="0" applyFont="1" applyFill="1" applyBorder="1" applyProtection="1">
      <protection locked="0"/>
    </xf>
    <xf numFmtId="0" fontId="5" fillId="5" borderId="2" xfId="0" applyFont="1" applyFill="1" applyBorder="1" applyProtection="1">
      <protection locked="0"/>
    </xf>
    <xf numFmtId="0" fontId="5" fillId="0" borderId="0" xfId="0" applyFont="1" applyProtection="1">
      <protection locked="0"/>
    </xf>
    <xf numFmtId="0" fontId="5" fillId="5" borderId="4" xfId="0" applyFont="1" applyFill="1" applyBorder="1" applyProtection="1">
      <protection locked="0"/>
    </xf>
    <xf numFmtId="0" fontId="5" fillId="5" borderId="0" xfId="0" applyFont="1" applyFill="1" applyBorder="1" applyProtection="1">
      <protection locked="0"/>
    </xf>
    <xf numFmtId="0" fontId="5" fillId="5" borderId="6" xfId="0" applyFont="1" applyFill="1" applyBorder="1" applyProtection="1">
      <protection locked="0"/>
    </xf>
    <xf numFmtId="0" fontId="5" fillId="5" borderId="7" xfId="0" applyFont="1" applyFill="1" applyBorder="1" applyProtection="1">
      <protection locked="0"/>
    </xf>
    <xf numFmtId="0" fontId="5" fillId="5" borderId="8" xfId="0" applyFont="1" applyFill="1" applyBorder="1" applyProtection="1">
      <protection locked="0"/>
    </xf>
    <xf numFmtId="0" fontId="5" fillId="0" borderId="0" xfId="0" applyFont="1" applyFill="1" applyBorder="1" applyProtection="1">
      <protection locked="0"/>
    </xf>
    <xf numFmtId="0" fontId="5" fillId="0" borderId="0" xfId="0" applyFont="1" applyFill="1" applyProtection="1">
      <protection locked="0"/>
    </xf>
    <xf numFmtId="0" fontId="0" fillId="0" borderId="0" xfId="0" applyFill="1" applyProtection="1">
      <protection locked="0"/>
    </xf>
    <xf numFmtId="0" fontId="4" fillId="7" borderId="1" xfId="0" applyFont="1" applyFill="1" applyBorder="1" applyAlignment="1" applyProtection="1">
      <alignment horizontal="left"/>
      <protection locked="0"/>
    </xf>
    <xf numFmtId="0" fontId="5" fillId="7" borderId="2" xfId="0" applyFont="1" applyFill="1" applyBorder="1" applyProtection="1">
      <protection locked="0"/>
    </xf>
    <xf numFmtId="0" fontId="5" fillId="7" borderId="3" xfId="0" applyFont="1" applyFill="1" applyBorder="1" applyProtection="1">
      <protection locked="0"/>
    </xf>
    <xf numFmtId="0" fontId="5" fillId="7" borderId="4" xfId="0" applyFont="1" applyFill="1" applyBorder="1" applyAlignment="1" applyProtection="1">
      <alignment horizontal="left"/>
      <protection locked="0"/>
    </xf>
    <xf numFmtId="0" fontId="5" fillId="4" borderId="0" xfId="0" applyFont="1" applyFill="1" applyBorder="1" applyProtection="1">
      <protection locked="0"/>
    </xf>
    <xf numFmtId="0" fontId="5" fillId="7" borderId="5" xfId="0" applyFont="1" applyFill="1" applyBorder="1" applyProtection="1">
      <protection locked="0"/>
    </xf>
    <xf numFmtId="0" fontId="5" fillId="7" borderId="6" xfId="0" applyFont="1" applyFill="1" applyBorder="1" applyAlignment="1" applyProtection="1">
      <alignment horizontal="left"/>
      <protection locked="0"/>
    </xf>
    <xf numFmtId="0" fontId="5" fillId="3" borderId="7" xfId="0" applyFont="1" applyFill="1" applyBorder="1" applyProtection="1">
      <protection locked="0"/>
    </xf>
    <xf numFmtId="0" fontId="5" fillId="7" borderId="8" xfId="0" applyFont="1" applyFill="1" applyBorder="1" applyProtection="1">
      <protection locked="0"/>
    </xf>
    <xf numFmtId="0" fontId="5" fillId="0" borderId="7" xfId="0" applyFont="1" applyFill="1" applyBorder="1" applyAlignment="1" applyProtection="1">
      <alignment horizontal="left"/>
      <protection locked="0"/>
    </xf>
    <xf numFmtId="0" fontId="5" fillId="0" borderId="7" xfId="0" applyFont="1" applyFill="1" applyBorder="1" applyProtection="1">
      <protection locked="0"/>
    </xf>
    <xf numFmtId="0" fontId="4" fillId="2" borderId="9" xfId="0" applyFont="1" applyFill="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5" fillId="0" borderId="9" xfId="0" applyFont="1" applyBorder="1" applyAlignment="1" applyProtection="1">
      <alignment horizontal="left" vertical="center"/>
      <protection locked="0"/>
    </xf>
    <xf numFmtId="0" fontId="5" fillId="4" borderId="9" xfId="0" applyFont="1" applyFill="1" applyBorder="1" applyAlignment="1" applyProtection="1">
      <alignment horizontal="right" vertical="center"/>
      <protection locked="0"/>
    </xf>
    <xf numFmtId="0" fontId="5" fillId="0" borderId="9" xfId="0" applyFont="1" applyBorder="1" applyAlignment="1" applyProtection="1">
      <alignment horizontal="left" vertical="center" indent="1"/>
      <protection locked="0"/>
    </xf>
    <xf numFmtId="0" fontId="5" fillId="0" borderId="0" xfId="0" applyFont="1" applyBorder="1" applyAlignment="1" applyProtection="1">
      <alignment horizontal="left" vertical="center"/>
      <protection locked="0"/>
    </xf>
    <xf numFmtId="0" fontId="5" fillId="4" borderId="0" xfId="0" applyFont="1" applyFill="1" applyBorder="1" applyAlignment="1" applyProtection="1">
      <alignment horizontal="right" vertical="center"/>
      <protection locked="0"/>
    </xf>
    <xf numFmtId="0" fontId="5" fillId="0" borderId="0" xfId="0" applyFont="1" applyBorder="1" applyAlignment="1" applyProtection="1">
      <alignment horizontal="left" vertical="center" indent="1"/>
      <protection locked="0"/>
    </xf>
    <xf numFmtId="9" fontId="5" fillId="4" borderId="9" xfId="0" applyNumberFormat="1" applyFont="1" applyFill="1" applyBorder="1" applyAlignment="1" applyProtection="1">
      <alignment horizontal="right" vertical="center"/>
      <protection locked="0"/>
    </xf>
    <xf numFmtId="9" fontId="5" fillId="0" borderId="0" xfId="0" applyNumberFormat="1" applyFont="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7" xfId="0" applyFont="1" applyBorder="1" applyAlignment="1" applyProtection="1">
      <alignment horizontal="left" vertical="center" indent="1"/>
      <protection locked="0"/>
    </xf>
    <xf numFmtId="0" fontId="5" fillId="3" borderId="3" xfId="0" applyFont="1" applyFill="1" applyBorder="1" applyProtection="1"/>
    <xf numFmtId="0" fontId="5" fillId="3" borderId="5" xfId="0" applyFont="1" applyFill="1" applyBorder="1" applyAlignment="1" applyProtection="1">
      <alignment horizontal="center"/>
    </xf>
    <xf numFmtId="0" fontId="5" fillId="0" borderId="0" xfId="0" applyFont="1" applyFill="1" applyBorder="1" applyAlignment="1" applyProtection="1">
      <alignment horizontal="left"/>
      <protection locked="0"/>
    </xf>
    <xf numFmtId="0" fontId="4" fillId="2" borderId="9" xfId="0" applyFont="1" applyFill="1" applyBorder="1" applyAlignment="1" applyProtection="1">
      <alignment vertical="center"/>
      <protection locked="0"/>
    </xf>
    <xf numFmtId="0" fontId="5" fillId="0" borderId="0" xfId="0" applyFont="1" applyAlignment="1" applyProtection="1">
      <alignment vertical="center"/>
      <protection locked="0"/>
    </xf>
    <xf numFmtId="0" fontId="5" fillId="0" borderId="9" xfId="0" applyFont="1" applyBorder="1" applyAlignment="1" applyProtection="1">
      <alignment vertical="center"/>
      <protection locked="0"/>
    </xf>
    <xf numFmtId="0" fontId="5" fillId="4" borderId="9" xfId="0" applyFont="1" applyFill="1" applyBorder="1" applyAlignment="1" applyProtection="1">
      <alignment vertical="center"/>
      <protection locked="0"/>
    </xf>
    <xf numFmtId="9" fontId="5" fillId="4" borderId="9" xfId="0" applyNumberFormat="1" applyFont="1" applyFill="1" applyBorder="1" applyAlignment="1" applyProtection="1">
      <alignment vertical="center"/>
      <protection locked="0"/>
    </xf>
    <xf numFmtId="9" fontId="5" fillId="0" borderId="0" xfId="0" applyNumberFormat="1" applyFont="1" applyAlignment="1" applyProtection="1">
      <alignment vertical="center"/>
      <protection locked="0"/>
    </xf>
    <xf numFmtId="0" fontId="5" fillId="6" borderId="0" xfId="0" applyFont="1" applyFill="1" applyBorder="1" applyProtection="1">
      <protection locked="0"/>
    </xf>
    <xf numFmtId="0" fontId="4" fillId="0" borderId="0" xfId="0" applyFont="1" applyProtection="1">
      <protection locked="0"/>
    </xf>
    <xf numFmtId="0" fontId="5" fillId="6" borderId="0" xfId="0" applyFont="1" applyFill="1" applyBorder="1" applyAlignment="1" applyProtection="1">
      <alignment horizontal="center"/>
      <protection locked="0"/>
    </xf>
    <xf numFmtId="0" fontId="5" fillId="5" borderId="5" xfId="0" applyFont="1" applyFill="1" applyBorder="1" applyProtection="1">
      <protection locked="0"/>
    </xf>
    <xf numFmtId="0" fontId="4" fillId="0" borderId="2" xfId="0" applyFont="1" applyBorder="1" applyAlignment="1" applyProtection="1">
      <alignment horizontal="center"/>
      <protection locked="0"/>
    </xf>
    <xf numFmtId="0" fontId="4" fillId="0" borderId="2" xfId="0" applyFont="1" applyBorder="1" applyAlignment="1" applyProtection="1">
      <alignment horizontal="center" vertical="center"/>
      <protection locked="0"/>
    </xf>
    <xf numFmtId="0" fontId="4" fillId="0" borderId="7" xfId="0" applyFont="1" applyBorder="1" applyAlignment="1" applyProtection="1">
      <alignment horizontal="center"/>
      <protection locked="0"/>
    </xf>
    <xf numFmtId="0" fontId="4" fillId="0" borderId="7" xfId="0" applyFont="1" applyBorder="1" applyAlignment="1" applyProtection="1">
      <alignment horizontal="center" vertical="center"/>
      <protection locked="0"/>
    </xf>
    <xf numFmtId="0" fontId="5" fillId="0" borderId="9" xfId="0" applyFont="1" applyBorder="1" applyAlignment="1" applyProtection="1">
      <alignment horizontal="center"/>
      <protection locked="0"/>
    </xf>
    <xf numFmtId="0" fontId="5" fillId="4" borderId="9" xfId="0" applyFont="1" applyFill="1" applyBorder="1" applyAlignment="1" applyProtection="1">
      <alignment horizontal="center" vertical="center"/>
      <protection locked="0"/>
    </xf>
    <xf numFmtId="164" fontId="5" fillId="4" borderId="9" xfId="1" applyNumberFormat="1" applyFont="1" applyFill="1" applyBorder="1" applyAlignment="1" applyProtection="1">
      <alignment horizontal="center" vertical="center"/>
      <protection locked="0"/>
    </xf>
    <xf numFmtId="0" fontId="5" fillId="6" borderId="0" xfId="0" applyFont="1" applyFill="1" applyProtection="1">
      <protection locked="0"/>
    </xf>
    <xf numFmtId="0" fontId="0" fillId="6" borderId="0" xfId="0" applyFill="1" applyProtection="1">
      <protection locked="0"/>
    </xf>
    <xf numFmtId="0" fontId="5" fillId="3" borderId="0" xfId="0" applyFont="1" applyFill="1" applyAlignment="1" applyProtection="1">
      <alignment horizontal="center"/>
    </xf>
    <xf numFmtId="0" fontId="4" fillId="0" borderId="0" xfId="0" applyFont="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2" borderId="9" xfId="0" applyFont="1" applyFill="1" applyBorder="1" applyAlignment="1" applyProtection="1">
      <alignment vertical="center"/>
      <protection locked="0"/>
    </xf>
    <xf numFmtId="0" fontId="5" fillId="3" borderId="0" xfId="0" applyFont="1" applyFill="1" applyAlignment="1" applyProtection="1">
      <alignment horizontal="center" vertical="center"/>
    </xf>
    <xf numFmtId="167" fontId="5" fillId="4" borderId="9" xfId="0" applyNumberFormat="1" applyFont="1" applyFill="1" applyBorder="1" applyAlignment="1" applyProtection="1">
      <alignment horizontal="right" vertical="center"/>
      <protection locked="0"/>
    </xf>
    <xf numFmtId="167" fontId="5" fillId="4" borderId="0" xfId="0" applyNumberFormat="1" applyFont="1" applyFill="1" applyBorder="1" applyAlignment="1" applyProtection="1">
      <alignment horizontal="right" vertical="center"/>
      <protection locked="0"/>
    </xf>
    <xf numFmtId="2" fontId="5" fillId="4" borderId="9"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horizontal="center" vertical="center"/>
    </xf>
    <xf numFmtId="164" fontId="5" fillId="4" borderId="2" xfId="1" applyNumberFormat="1" applyFont="1" applyFill="1" applyBorder="1" applyAlignment="1" applyProtection="1">
      <alignment vertical="center"/>
      <protection locked="0"/>
    </xf>
    <xf numFmtId="164" fontId="5" fillId="4" borderId="2" xfId="1" applyNumberFormat="1" applyFont="1" applyFill="1" applyBorder="1" applyAlignment="1" applyProtection="1">
      <alignment horizontal="right" vertical="center"/>
      <protection locked="0"/>
    </xf>
    <xf numFmtId="0" fontId="4"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9" fontId="5" fillId="0" borderId="0" xfId="0" applyNumberFormat="1" applyFont="1" applyFill="1" applyBorder="1" applyAlignment="1" applyProtection="1">
      <alignment vertical="center"/>
      <protection locked="0"/>
    </xf>
    <xf numFmtId="0" fontId="5" fillId="0" borderId="0" xfId="0" applyFont="1" applyFill="1" applyBorder="1" applyAlignment="1" applyProtection="1">
      <alignment horizontal="left" vertical="center" indent="1"/>
      <protection locked="0"/>
    </xf>
    <xf numFmtId="165" fontId="5" fillId="0" borderId="0" xfId="0" applyNumberFormat="1" applyFont="1" applyFill="1" applyBorder="1" applyAlignment="1" applyProtection="1">
      <alignment vertical="center"/>
    </xf>
    <xf numFmtId="164" fontId="5" fillId="0" borderId="0" xfId="1" applyNumberFormat="1" applyFont="1" applyFill="1" applyBorder="1" applyAlignment="1" applyProtection="1">
      <alignment vertical="center"/>
    </xf>
    <xf numFmtId="0" fontId="0" fillId="5" borderId="9" xfId="0" applyFill="1" applyBorder="1" applyProtection="1">
      <protection locked="0"/>
    </xf>
    <xf numFmtId="0" fontId="0" fillId="5" borderId="13" xfId="0" applyFill="1" applyBorder="1" applyProtection="1">
      <protection locked="0"/>
    </xf>
    <xf numFmtId="0" fontId="9" fillId="0" borderId="0" xfId="0" applyFont="1" applyFill="1" applyBorder="1" applyProtection="1">
      <protection locked="0"/>
    </xf>
    <xf numFmtId="0" fontId="4" fillId="5" borderId="14" xfId="0" applyFont="1" applyFill="1" applyBorder="1" applyProtection="1">
      <protection locked="0"/>
    </xf>
    <xf numFmtId="0" fontId="0" fillId="0" borderId="0" xfId="0" applyFill="1" applyBorder="1" applyProtection="1">
      <protection locked="0"/>
    </xf>
    <xf numFmtId="0" fontId="10" fillId="0" borderId="0" xfId="0" applyFont="1" applyFill="1" applyBorder="1" applyAlignment="1" applyProtection="1">
      <alignment horizontal="left" wrapText="1"/>
      <protection locked="0"/>
    </xf>
    <xf numFmtId="0" fontId="0" fillId="0" borderId="0" xfId="0" applyAlignment="1" applyProtection="1">
      <alignment vertical="top"/>
      <protection locked="0"/>
    </xf>
    <xf numFmtId="0" fontId="0" fillId="0" borderId="0" xfId="0" applyAlignment="1" applyProtection="1">
      <alignment horizontal="left" vertical="center"/>
      <protection hidden="1"/>
    </xf>
    <xf numFmtId="165" fontId="5" fillId="3" borderId="9" xfId="0" applyNumberFormat="1" applyFont="1" applyFill="1" applyBorder="1" applyAlignment="1" applyProtection="1">
      <alignment horizontal="right" vertical="center"/>
      <protection hidden="1"/>
    </xf>
    <xf numFmtId="0" fontId="5" fillId="3" borderId="12" xfId="0" applyFont="1" applyFill="1" applyBorder="1" applyAlignment="1" applyProtection="1">
      <alignment horizontal="right" vertical="center"/>
      <protection hidden="1"/>
    </xf>
    <xf numFmtId="167" fontId="5" fillId="3" borderId="0" xfId="0" applyNumberFormat="1" applyFont="1" applyFill="1" applyBorder="1" applyAlignment="1" applyProtection="1">
      <alignment horizontal="right" vertical="center"/>
      <protection hidden="1"/>
    </xf>
    <xf numFmtId="167" fontId="5" fillId="3" borderId="9" xfId="0" applyNumberFormat="1" applyFont="1" applyFill="1" applyBorder="1" applyAlignment="1" applyProtection="1">
      <alignment horizontal="right" vertical="center"/>
      <protection hidden="1"/>
    </xf>
    <xf numFmtId="167" fontId="5" fillId="3" borderId="2" xfId="0" applyNumberFormat="1" applyFont="1" applyFill="1" applyBorder="1" applyAlignment="1" applyProtection="1">
      <alignment horizontal="right" vertical="center"/>
      <protection hidden="1"/>
    </xf>
    <xf numFmtId="168" fontId="5" fillId="3" borderId="12" xfId="1" applyNumberFormat="1" applyFont="1" applyFill="1" applyBorder="1" applyAlignment="1" applyProtection="1">
      <alignment horizontal="right" vertical="center"/>
      <protection hidden="1"/>
    </xf>
    <xf numFmtId="0" fontId="5" fillId="0" borderId="0" xfId="0" applyFont="1" applyProtection="1">
      <protection hidden="1"/>
    </xf>
    <xf numFmtId="0" fontId="5" fillId="3" borderId="5" xfId="0" applyFont="1" applyFill="1" applyBorder="1" applyAlignment="1" applyProtection="1">
      <alignment horizontal="center"/>
      <protection hidden="1"/>
    </xf>
    <xf numFmtId="165" fontId="5" fillId="3" borderId="9" xfId="0" applyNumberFormat="1" applyFont="1" applyFill="1" applyBorder="1" applyAlignment="1" applyProtection="1">
      <alignment vertical="center"/>
      <protection hidden="1"/>
    </xf>
    <xf numFmtId="0" fontId="5" fillId="3" borderId="12" xfId="0" applyFont="1" applyFill="1" applyBorder="1" applyAlignment="1" applyProtection="1">
      <alignment vertical="center"/>
      <protection hidden="1"/>
    </xf>
    <xf numFmtId="0" fontId="0" fillId="0" borderId="0" xfId="0" applyProtection="1">
      <protection hidden="1"/>
    </xf>
    <xf numFmtId="0" fontId="5" fillId="3" borderId="3" xfId="0" applyFont="1" applyFill="1" applyBorder="1" applyProtection="1">
      <protection hidden="1"/>
    </xf>
    <xf numFmtId="164" fontId="5" fillId="3" borderId="9" xfId="1" applyNumberFormat="1" applyFont="1" applyFill="1" applyBorder="1" applyAlignment="1" applyProtection="1">
      <alignment vertical="center"/>
      <protection hidden="1"/>
    </xf>
    <xf numFmtId="164" fontId="5" fillId="3" borderId="2" xfId="1" applyNumberFormat="1" applyFont="1" applyFill="1" applyBorder="1" applyAlignment="1" applyProtection="1">
      <alignment vertical="center"/>
      <protection hidden="1"/>
    </xf>
    <xf numFmtId="164" fontId="5" fillId="3" borderId="12" xfId="1" applyNumberFormat="1" applyFont="1" applyFill="1" applyBorder="1" applyAlignment="1" applyProtection="1">
      <alignment vertical="center"/>
      <protection hidden="1"/>
    </xf>
    <xf numFmtId="171" fontId="5" fillId="3" borderId="9" xfId="0" applyNumberFormat="1" applyFont="1" applyFill="1" applyBorder="1" applyAlignment="1" applyProtection="1">
      <alignment vertical="center"/>
      <protection hidden="1"/>
    </xf>
    <xf numFmtId="170" fontId="5" fillId="3" borderId="2" xfId="0" applyNumberFormat="1" applyFont="1" applyFill="1" applyBorder="1" applyAlignment="1" applyProtection="1">
      <alignment vertical="center"/>
      <protection hidden="1"/>
    </xf>
    <xf numFmtId="168" fontId="5" fillId="3" borderId="12" xfId="0" applyNumberFormat="1" applyFont="1" applyFill="1" applyBorder="1" applyAlignment="1" applyProtection="1">
      <alignment vertical="center"/>
      <protection hidden="1"/>
    </xf>
    <xf numFmtId="0" fontId="5" fillId="3" borderId="9" xfId="0" applyFont="1" applyFill="1" applyBorder="1" applyAlignment="1" applyProtection="1">
      <alignment horizontal="center" vertical="center"/>
      <protection hidden="1"/>
    </xf>
    <xf numFmtId="172" fontId="5" fillId="3" borderId="9" xfId="0" applyNumberFormat="1" applyFont="1" applyFill="1" applyBorder="1" applyAlignment="1" applyProtection="1">
      <alignment horizontal="center" vertical="center"/>
      <protection hidden="1"/>
    </xf>
    <xf numFmtId="169" fontId="5" fillId="3" borderId="9" xfId="0" applyNumberFormat="1" applyFont="1" applyFill="1" applyBorder="1" applyAlignment="1" applyProtection="1">
      <alignment horizontal="center" vertical="center"/>
      <protection hidden="1"/>
    </xf>
    <xf numFmtId="166" fontId="8" fillId="0" borderId="0" xfId="0" applyNumberFormat="1" applyFont="1" applyFill="1" applyAlignment="1">
      <alignment horizontal="left" vertical="top"/>
    </xf>
    <xf numFmtId="0" fontId="10" fillId="0" borderId="0" xfId="0" applyFont="1" applyAlignment="1" applyProtection="1">
      <alignment horizontal="left" wrapText="1"/>
      <protection locked="0"/>
    </xf>
    <xf numFmtId="0" fontId="7" fillId="7" borderId="14" xfId="0" applyFont="1" applyFill="1" applyBorder="1" applyAlignment="1" applyProtection="1">
      <alignment horizontal="left" vertical="top" wrapText="1"/>
      <protection locked="0"/>
    </xf>
    <xf numFmtId="0" fontId="10" fillId="7" borderId="9" xfId="0" applyFont="1" applyFill="1" applyBorder="1" applyAlignment="1" applyProtection="1">
      <alignment horizontal="left" vertical="top" wrapText="1"/>
      <protection locked="0"/>
    </xf>
    <xf numFmtId="0" fontId="10" fillId="7" borderId="13" xfId="0" applyFont="1" applyFill="1" applyBorder="1" applyAlignment="1" applyProtection="1">
      <alignment horizontal="left" vertical="top" wrapText="1"/>
      <protection locked="0"/>
    </xf>
  </cellXfs>
  <cellStyles count="2">
    <cellStyle name="Comma" xfId="1" builtinId="3"/>
    <cellStyle name="Normal"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200025</xdr:colOff>
      <xdr:row>31</xdr:row>
      <xdr:rowOff>123824</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7400925" cy="6029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276225</xdr:colOff>
      <xdr:row>5</xdr:row>
      <xdr:rowOff>180975</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43725" cy="113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247650</xdr:colOff>
      <xdr:row>5</xdr:row>
      <xdr:rowOff>180975</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43725" cy="113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247650</xdr:colOff>
      <xdr:row>5</xdr:row>
      <xdr:rowOff>180975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43725" cy="113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200025</xdr:colOff>
      <xdr:row>51</xdr:row>
      <xdr:rowOff>38100</xdr:rowOff>
    </xdr:from>
    <xdr:to>
      <xdr:col>3</xdr:col>
      <xdr:colOff>95250</xdr:colOff>
      <xdr:row>52</xdr:row>
      <xdr:rowOff>142838</xdr:rowOff>
    </xdr:to>
    <xdr:pic>
      <xdr:nvPicPr>
        <xdr:cNvPr id="3" name="Picture 2"/>
        <xdr:cNvPicPr>
          <a:picLocks noChangeAspect="1"/>
        </xdr:cNvPicPr>
      </xdr:nvPicPr>
      <xdr:blipFill>
        <a:blip xmlns:r="http://schemas.openxmlformats.org/officeDocument/2006/relationships" r:embed="rId1"/>
        <a:stretch>
          <a:fillRect/>
        </a:stretch>
      </xdr:blipFill>
      <xdr:spPr>
        <a:xfrm>
          <a:off x="4267200" y="12039600"/>
          <a:ext cx="704850" cy="295238"/>
        </a:xfrm>
        <a:prstGeom prst="rect">
          <a:avLst/>
        </a:prstGeom>
      </xdr:spPr>
    </xdr:pic>
    <xdr:clientData/>
  </xdr:twoCellAnchor>
  <xdr:twoCellAnchor editAs="oneCell">
    <xdr:from>
      <xdr:col>0</xdr:col>
      <xdr:colOff>0</xdr:colOff>
      <xdr:row>0</xdr:row>
      <xdr:rowOff>0</xdr:rowOff>
    </xdr:from>
    <xdr:to>
      <xdr:col>3</xdr:col>
      <xdr:colOff>2066925</xdr:colOff>
      <xdr:row>5</xdr:row>
      <xdr:rowOff>180975</xdr:rowOff>
    </xdr:to>
    <xdr:pic>
      <xdr:nvPicPr>
        <xdr:cNvPr id="4"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6943725" cy="113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5</xdr:row>
      <xdr:rowOff>180975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43725" cy="113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K28"/>
  <sheetViews>
    <sheetView showGridLines="0" tabSelected="1" workbookViewId="0">
      <selection activeCell="F10" sqref="F10"/>
    </sheetView>
  </sheetViews>
  <sheetFormatPr defaultRowHeight="15" x14ac:dyDescent="0.25"/>
  <cols>
    <col min="1" max="1" width="4.7109375" customWidth="1"/>
    <col min="2" max="2" width="12" style="1" customWidth="1"/>
    <col min="3" max="3" width="14.5703125" customWidth="1"/>
    <col min="4" max="4" width="15.85546875" customWidth="1"/>
    <col min="5" max="5" width="60.85546875" customWidth="1"/>
  </cols>
  <sheetData>
    <row r="4" spans="3:3" x14ac:dyDescent="0.25">
      <c r="C4" s="2"/>
    </row>
    <row r="22" spans="9:11" x14ac:dyDescent="0.25">
      <c r="J22" s="3"/>
    </row>
    <row r="23" spans="9:11" x14ac:dyDescent="0.25">
      <c r="J23" s="3"/>
      <c r="K23" s="3"/>
    </row>
    <row r="24" spans="9:11" x14ac:dyDescent="0.25">
      <c r="J24" s="3"/>
    </row>
    <row r="25" spans="9:11" x14ac:dyDescent="0.25">
      <c r="I25" s="3"/>
      <c r="J25" s="3"/>
    </row>
    <row r="26" spans="9:11" x14ac:dyDescent="0.25">
      <c r="J26" s="3"/>
    </row>
    <row r="27" spans="9:11" x14ac:dyDescent="0.25">
      <c r="J27" s="3"/>
    </row>
    <row r="28" spans="9:11" x14ac:dyDescent="0.25">
      <c r="J28" s="3"/>
    </row>
  </sheetData>
  <sheetProtection password="CDF2" sheet="1" objects="1" scenarios="1"/>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8:H42"/>
  <sheetViews>
    <sheetView showGridLines="0" zoomScaleNormal="100" workbookViewId="0">
      <selection activeCell="F1" sqref="F1"/>
    </sheetView>
  </sheetViews>
  <sheetFormatPr defaultRowHeight="15" x14ac:dyDescent="0.25"/>
  <cols>
    <col min="1" max="1" width="5.7109375" style="16" customWidth="1"/>
    <col min="2" max="2" width="47.140625" style="16" customWidth="1"/>
    <col min="3" max="3" width="9.85546875" style="16" bestFit="1" customWidth="1"/>
    <col min="4" max="4" width="37.28515625" style="16" customWidth="1"/>
    <col min="5" max="16384" width="9.140625" style="16"/>
  </cols>
  <sheetData>
    <row r="8" spans="2:5" ht="15" customHeight="1" x14ac:dyDescent="0.25"/>
    <row r="9" spans="2:5" ht="15" customHeight="1" x14ac:dyDescent="0.25"/>
    <row r="10" spans="2:5" ht="15" customHeight="1" x14ac:dyDescent="0.25">
      <c r="B10" s="17" t="s">
        <v>0</v>
      </c>
      <c r="C10" s="18"/>
      <c r="D10" s="52" t="s">
        <v>23</v>
      </c>
      <c r="E10" s="19"/>
    </row>
    <row r="11" spans="2:5" ht="15" customHeight="1" x14ac:dyDescent="0.25">
      <c r="B11" s="20" t="s">
        <v>5</v>
      </c>
      <c r="C11" s="21"/>
      <c r="D11" s="53" t="str">
        <f>C21*100&amp;"/"&amp;C23*100</f>
        <v>90/10</v>
      </c>
      <c r="E11" s="19"/>
    </row>
    <row r="12" spans="2:5" ht="15" customHeight="1" x14ac:dyDescent="0.25">
      <c r="B12" s="22" t="s">
        <v>4</v>
      </c>
      <c r="C12" s="23"/>
      <c r="D12" s="24"/>
      <c r="E12" s="19"/>
    </row>
    <row r="13" spans="2:5" s="27" customFormat="1" ht="15" customHeight="1" x14ac:dyDescent="0.25">
      <c r="B13" s="25"/>
      <c r="C13" s="25"/>
      <c r="D13" s="25"/>
      <c r="E13" s="26"/>
    </row>
    <row r="14" spans="2:5" ht="15" customHeight="1" x14ac:dyDescent="0.25">
      <c r="B14" s="28" t="s">
        <v>35</v>
      </c>
      <c r="C14" s="29"/>
      <c r="D14" s="30"/>
      <c r="E14" s="19"/>
    </row>
    <row r="15" spans="2:5" ht="15" customHeight="1" x14ac:dyDescent="0.25">
      <c r="B15" s="31" t="s">
        <v>33</v>
      </c>
      <c r="C15" s="32"/>
      <c r="D15" s="33"/>
      <c r="E15" s="19"/>
    </row>
    <row r="16" spans="2:5" ht="15" customHeight="1" x14ac:dyDescent="0.25">
      <c r="B16" s="34" t="s">
        <v>34</v>
      </c>
      <c r="C16" s="35"/>
      <c r="D16" s="36"/>
      <c r="E16" s="19"/>
    </row>
    <row r="17" spans="2:8" ht="15" customHeight="1" x14ac:dyDescent="0.25">
      <c r="B17" s="37"/>
      <c r="C17" s="38"/>
      <c r="D17" s="38"/>
      <c r="E17" s="19"/>
    </row>
    <row r="18" spans="2:8" s="41" customFormat="1" ht="15" customHeight="1" x14ac:dyDescent="0.25">
      <c r="B18" s="39" t="s">
        <v>3</v>
      </c>
      <c r="C18" s="39" t="s">
        <v>1</v>
      </c>
      <c r="D18" s="39" t="s">
        <v>2</v>
      </c>
      <c r="E18" s="40"/>
    </row>
    <row r="19" spans="2:8" s="41" customFormat="1" ht="15" customHeight="1" x14ac:dyDescent="0.25">
      <c r="B19" s="42" t="s">
        <v>8</v>
      </c>
      <c r="C19" s="43">
        <v>3.5</v>
      </c>
      <c r="D19" s="44"/>
      <c r="E19" s="40"/>
    </row>
    <row r="20" spans="2:8" s="41" customFormat="1" ht="15" customHeight="1" x14ac:dyDescent="0.25">
      <c r="B20" s="45" t="s">
        <v>10</v>
      </c>
      <c r="C20" s="46">
        <v>2.5</v>
      </c>
      <c r="D20" s="47"/>
      <c r="E20" s="40"/>
    </row>
    <row r="21" spans="2:8" s="41" customFormat="1" ht="15" customHeight="1" x14ac:dyDescent="0.25">
      <c r="B21" s="42" t="s">
        <v>6</v>
      </c>
      <c r="C21" s="48">
        <v>0.9</v>
      </c>
      <c r="D21" s="44" t="s">
        <v>7</v>
      </c>
      <c r="E21" s="40"/>
    </row>
    <row r="22" spans="2:8" s="41" customFormat="1" ht="15" customHeight="1" x14ac:dyDescent="0.25">
      <c r="B22" s="42" t="s">
        <v>14</v>
      </c>
      <c r="C22" s="99">
        <f>NORMINV(1-(1-C21)/2,0,1)</f>
        <v>1.6448536269514715</v>
      </c>
      <c r="D22" s="44" t="s">
        <v>15</v>
      </c>
      <c r="E22" s="49"/>
      <c r="H22" s="98"/>
    </row>
    <row r="23" spans="2:8" s="41" customFormat="1" ht="15" customHeight="1" x14ac:dyDescent="0.25">
      <c r="B23" s="42" t="s">
        <v>9</v>
      </c>
      <c r="C23" s="48">
        <v>0.1</v>
      </c>
      <c r="D23" s="44" t="s">
        <v>13</v>
      </c>
      <c r="E23" s="40"/>
    </row>
    <row r="24" spans="2:8" s="41" customFormat="1" ht="15" customHeight="1" thickBot="1" x14ac:dyDescent="0.3">
      <c r="B24" s="42" t="s">
        <v>11</v>
      </c>
      <c r="C24" s="84">
        <v>420000</v>
      </c>
      <c r="D24" s="44"/>
      <c r="E24" s="49"/>
    </row>
    <row r="25" spans="2:8" s="41" customFormat="1" ht="15" customHeight="1" thickBot="1" x14ac:dyDescent="0.3">
      <c r="B25" s="50" t="s">
        <v>12</v>
      </c>
      <c r="C25" s="100">
        <f>ROUNDUP(C22^2*C24*(C20/C19)^2/((C24-1)*C23^2+C22^2*(C20/C19)^2),0)</f>
        <v>138</v>
      </c>
      <c r="D25" s="51" t="s">
        <v>18</v>
      </c>
      <c r="E25" s="40"/>
    </row>
    <row r="26" spans="2:8" ht="15" customHeight="1" x14ac:dyDescent="0.25">
      <c r="B26" s="121"/>
      <c r="C26" s="121"/>
      <c r="D26" s="121"/>
      <c r="E26" s="19"/>
    </row>
    <row r="27" spans="2:8" ht="186" customHeight="1" x14ac:dyDescent="0.25">
      <c r="B27" s="122" t="s">
        <v>88</v>
      </c>
      <c r="C27" s="123"/>
      <c r="D27" s="124"/>
      <c r="E27" s="19"/>
    </row>
    <row r="28" spans="2:8" ht="15" customHeight="1" x14ac:dyDescent="0.25">
      <c r="B28" s="96"/>
      <c r="C28" s="96"/>
      <c r="D28" s="96"/>
      <c r="E28" s="19"/>
    </row>
    <row r="29" spans="2:8" ht="15" customHeight="1" x14ac:dyDescent="0.25">
      <c r="B29" s="96"/>
      <c r="C29" s="96"/>
      <c r="D29" s="96"/>
      <c r="E29" s="19"/>
    </row>
    <row r="31" spans="2:8" x14ac:dyDescent="0.25">
      <c r="B31" s="94" t="s">
        <v>86</v>
      </c>
      <c r="C31" s="91"/>
      <c r="D31" s="92"/>
      <c r="E31" s="93"/>
    </row>
    <row r="32" spans="2:8" x14ac:dyDescent="0.25">
      <c r="B32" s="19"/>
    </row>
    <row r="33" spans="2:4" x14ac:dyDescent="0.25">
      <c r="B33" s="39" t="s">
        <v>3</v>
      </c>
      <c r="C33" s="39" t="s">
        <v>1</v>
      </c>
      <c r="D33" s="39" t="s">
        <v>2</v>
      </c>
    </row>
    <row r="34" spans="2:4" x14ac:dyDescent="0.25">
      <c r="B34" s="42" t="s">
        <v>69</v>
      </c>
      <c r="C34" s="43">
        <v>140</v>
      </c>
      <c r="D34" s="44"/>
    </row>
    <row r="35" spans="2:4" x14ac:dyDescent="0.25">
      <c r="B35" s="45" t="s">
        <v>70</v>
      </c>
      <c r="C35" s="80">
        <v>3.4685999999999999</v>
      </c>
      <c r="D35" s="47"/>
    </row>
    <row r="36" spans="2:4" x14ac:dyDescent="0.25">
      <c r="B36" s="42" t="s">
        <v>71</v>
      </c>
      <c r="C36" s="79">
        <v>1.7557</v>
      </c>
      <c r="D36" s="44"/>
    </row>
    <row r="37" spans="2:4" x14ac:dyDescent="0.25">
      <c r="B37" s="45" t="s">
        <v>73</v>
      </c>
      <c r="C37" s="101">
        <f>((1-C34/C24)*C36^2/C34)^0.5</f>
        <v>0.14835899981937317</v>
      </c>
      <c r="D37" s="47"/>
    </row>
    <row r="38" spans="2:4" x14ac:dyDescent="0.25">
      <c r="B38" s="42" t="s">
        <v>74</v>
      </c>
      <c r="C38" s="102">
        <f>TINV(1-C21,C34-1)</f>
        <v>1.6558898677763616</v>
      </c>
      <c r="D38" s="44" t="s">
        <v>72</v>
      </c>
    </row>
    <row r="39" spans="2:4" ht="15.75" thickBot="1" x14ac:dyDescent="0.3">
      <c r="B39" s="42" t="s">
        <v>75</v>
      </c>
      <c r="C39" s="103">
        <f>C38*C37</f>
        <v>0.2456661645943351</v>
      </c>
      <c r="D39" s="44"/>
    </row>
    <row r="40" spans="2:4" ht="15.75" thickBot="1" x14ac:dyDescent="0.3">
      <c r="B40" s="42" t="s">
        <v>9</v>
      </c>
      <c r="C40" s="104">
        <f>C39/C35</f>
        <v>7.0825740815987748E-2</v>
      </c>
      <c r="D40" s="44"/>
    </row>
    <row r="42" spans="2:4" ht="41.25" customHeight="1" x14ac:dyDescent="0.25">
      <c r="B42" s="122" t="s">
        <v>87</v>
      </c>
      <c r="C42" s="123"/>
      <c r="D42" s="124"/>
    </row>
  </sheetData>
  <sheetProtection password="CDF2" sheet="1" objects="1" scenarios="1"/>
  <mergeCells count="3">
    <mergeCell ref="B26:D26"/>
    <mergeCell ref="B27:D27"/>
    <mergeCell ref="B42:D42"/>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8:L38"/>
  <sheetViews>
    <sheetView showGridLines="0" zoomScaleNormal="100" workbookViewId="0">
      <selection activeCell="F1" sqref="F1"/>
    </sheetView>
  </sheetViews>
  <sheetFormatPr defaultRowHeight="15" x14ac:dyDescent="0.25"/>
  <cols>
    <col min="1" max="1" width="5.7109375" style="16" customWidth="1"/>
    <col min="2" max="2" width="47.140625" style="16" customWidth="1"/>
    <col min="3" max="3" width="9.85546875" style="16" bestFit="1" customWidth="1"/>
    <col min="4" max="4" width="37.7109375" style="16" customWidth="1"/>
    <col min="5" max="16384" width="9.140625" style="16"/>
  </cols>
  <sheetData>
    <row r="8" spans="2:4" ht="15" customHeight="1" x14ac:dyDescent="0.25"/>
    <row r="9" spans="2:4" s="19" customFormat="1" ht="15" customHeight="1" x14ac:dyDescent="0.25">
      <c r="B9" s="17" t="s">
        <v>16</v>
      </c>
      <c r="C9" s="18"/>
      <c r="D9" s="52" t="s">
        <v>23</v>
      </c>
    </row>
    <row r="10" spans="2:4" s="19" customFormat="1" ht="15" customHeight="1" x14ac:dyDescent="0.2">
      <c r="B10" s="20" t="s">
        <v>5</v>
      </c>
      <c r="C10" s="21"/>
      <c r="D10" s="106" t="str">
        <f>C19*100&amp;"/"&amp;C21*100</f>
        <v>90/10</v>
      </c>
    </row>
    <row r="11" spans="2:4" s="19" customFormat="1" ht="15" customHeight="1" x14ac:dyDescent="0.2">
      <c r="B11" s="22" t="s">
        <v>4</v>
      </c>
      <c r="C11" s="23"/>
      <c r="D11" s="24"/>
    </row>
    <row r="12" spans="2:4" s="26" customFormat="1" ht="15" customHeight="1" x14ac:dyDescent="0.2">
      <c r="B12" s="25"/>
      <c r="C12" s="25"/>
      <c r="D12" s="25"/>
    </row>
    <row r="13" spans="2:4" s="19" customFormat="1" ht="15" customHeight="1" x14ac:dyDescent="0.25">
      <c r="B13" s="28" t="s">
        <v>35</v>
      </c>
      <c r="C13" s="29"/>
      <c r="D13" s="30"/>
    </row>
    <row r="14" spans="2:4" s="19" customFormat="1" ht="15" customHeight="1" x14ac:dyDescent="0.2">
      <c r="B14" s="31" t="s">
        <v>33</v>
      </c>
      <c r="C14" s="32"/>
      <c r="D14" s="33"/>
    </row>
    <row r="15" spans="2:4" s="19" customFormat="1" ht="15" customHeight="1" x14ac:dyDescent="0.2">
      <c r="B15" s="34" t="s">
        <v>34</v>
      </c>
      <c r="C15" s="35"/>
      <c r="D15" s="36"/>
    </row>
    <row r="16" spans="2:4" s="19" customFormat="1" ht="15" customHeight="1" x14ac:dyDescent="0.2">
      <c r="B16" s="54"/>
      <c r="C16" s="25"/>
      <c r="D16" s="25"/>
    </row>
    <row r="17" spans="2:12" s="56" customFormat="1" ht="15" customHeight="1" x14ac:dyDescent="0.25">
      <c r="B17" s="55" t="s">
        <v>3</v>
      </c>
      <c r="C17" s="55" t="s">
        <v>1</v>
      </c>
      <c r="D17" s="55" t="s">
        <v>2</v>
      </c>
    </row>
    <row r="18" spans="2:12" s="56" customFormat="1" ht="15" customHeight="1" x14ac:dyDescent="0.25">
      <c r="B18" s="57" t="s">
        <v>17</v>
      </c>
      <c r="C18" s="58">
        <v>0.5</v>
      </c>
      <c r="D18" s="44" t="s">
        <v>19</v>
      </c>
    </row>
    <row r="19" spans="2:12" s="56" customFormat="1" ht="15" customHeight="1" x14ac:dyDescent="0.25">
      <c r="B19" s="57" t="s">
        <v>6</v>
      </c>
      <c r="C19" s="59">
        <v>0.9</v>
      </c>
      <c r="D19" s="44" t="s">
        <v>7</v>
      </c>
    </row>
    <row r="20" spans="2:12" s="56" customFormat="1" ht="15" customHeight="1" x14ac:dyDescent="0.25">
      <c r="B20" s="57" t="s">
        <v>14</v>
      </c>
      <c r="C20" s="107">
        <f>NORMINV(1-(1-C19)/2,0,1)</f>
        <v>1.6448536269514715</v>
      </c>
      <c r="D20" s="44" t="s">
        <v>15</v>
      </c>
      <c r="E20" s="60"/>
    </row>
    <row r="21" spans="2:12" s="56" customFormat="1" ht="15" customHeight="1" x14ac:dyDescent="0.25">
      <c r="B21" s="57" t="s">
        <v>9</v>
      </c>
      <c r="C21" s="59">
        <v>0.1</v>
      </c>
      <c r="D21" s="44" t="s">
        <v>13</v>
      </c>
    </row>
    <row r="22" spans="2:12" s="56" customFormat="1" ht="15" customHeight="1" thickBot="1" x14ac:dyDescent="0.3">
      <c r="B22" s="57" t="s">
        <v>11</v>
      </c>
      <c r="C22" s="83">
        <v>640000</v>
      </c>
      <c r="D22" s="44"/>
      <c r="E22" s="60"/>
    </row>
    <row r="23" spans="2:12" s="56" customFormat="1" ht="15" customHeight="1" thickBot="1" x14ac:dyDescent="0.3">
      <c r="B23" s="57" t="s">
        <v>12</v>
      </c>
      <c r="C23" s="108">
        <f>ROUNDUP(C20^2*C22*C18*(1-C18)/((C22-1)*C21^2*C18^2+C20^2*C18*(1-C18)),0)</f>
        <v>271</v>
      </c>
      <c r="D23" s="44" t="s">
        <v>18</v>
      </c>
    </row>
    <row r="24" spans="2:12" s="19" customFormat="1" ht="14.25" x14ac:dyDescent="0.2"/>
    <row r="25" spans="2:12" s="19" customFormat="1" ht="183.75" customHeight="1" x14ac:dyDescent="0.2">
      <c r="B25" s="122" t="s">
        <v>88</v>
      </c>
      <c r="C25" s="123"/>
      <c r="D25" s="124"/>
      <c r="L25" s="105"/>
    </row>
    <row r="26" spans="2:12" s="19" customFormat="1" ht="14.25" x14ac:dyDescent="0.2"/>
    <row r="29" spans="2:12" x14ac:dyDescent="0.25">
      <c r="B29" s="94" t="s">
        <v>86</v>
      </c>
      <c r="C29" s="91"/>
      <c r="D29" s="92"/>
      <c r="E29" s="95"/>
    </row>
    <row r="30" spans="2:12" x14ac:dyDescent="0.25">
      <c r="B30" s="19"/>
    </row>
    <row r="31" spans="2:12" x14ac:dyDescent="0.25">
      <c r="B31" s="39" t="s">
        <v>3</v>
      </c>
      <c r="C31" s="39" t="s">
        <v>1</v>
      </c>
      <c r="D31" s="39" t="s">
        <v>2</v>
      </c>
      <c r="I31" s="97"/>
    </row>
    <row r="32" spans="2:12" x14ac:dyDescent="0.25">
      <c r="B32" s="42" t="s">
        <v>69</v>
      </c>
      <c r="C32" s="43">
        <v>274</v>
      </c>
      <c r="D32" s="44"/>
    </row>
    <row r="33" spans="2:4" x14ac:dyDescent="0.25">
      <c r="B33" s="42" t="s">
        <v>76</v>
      </c>
      <c r="C33" s="79">
        <v>0.58030000000000004</v>
      </c>
      <c r="D33" s="44"/>
    </row>
    <row r="34" spans="2:4" x14ac:dyDescent="0.25">
      <c r="B34" s="45" t="s">
        <v>77</v>
      </c>
      <c r="C34" s="101">
        <f>((1-C32/C22)*C33*(1-C33)/C32)^0.5</f>
        <v>2.9807633822264909E-2</v>
      </c>
      <c r="D34" s="47"/>
    </row>
    <row r="35" spans="2:4" ht="15.75" thickBot="1" x14ac:dyDescent="0.3">
      <c r="B35" s="42" t="s">
        <v>78</v>
      </c>
      <c r="C35" s="103">
        <f>C20*C34</f>
        <v>4.9029194603393791E-2</v>
      </c>
      <c r="D35" s="44"/>
    </row>
    <row r="36" spans="2:4" ht="15.75" thickBot="1" x14ac:dyDescent="0.3">
      <c r="B36" s="42" t="s">
        <v>9</v>
      </c>
      <c r="C36" s="104">
        <f>C35/C33</f>
        <v>8.4489392733747698E-2</v>
      </c>
      <c r="D36" s="44"/>
    </row>
    <row r="38" spans="2:4" ht="41.25" customHeight="1" x14ac:dyDescent="0.25">
      <c r="B38" s="122" t="s">
        <v>87</v>
      </c>
      <c r="C38" s="123"/>
      <c r="D38" s="124"/>
    </row>
  </sheetData>
  <sheetProtection password="CDF2" sheet="1" objects="1" scenarios="1"/>
  <mergeCells count="2">
    <mergeCell ref="B25:D25"/>
    <mergeCell ref="B38:D38"/>
  </mergeCell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9:P50"/>
  <sheetViews>
    <sheetView showGridLines="0" zoomScaleNormal="100" workbookViewId="0">
      <selection activeCell="F1" sqref="F1"/>
    </sheetView>
  </sheetViews>
  <sheetFormatPr defaultRowHeight="15" x14ac:dyDescent="0.25"/>
  <cols>
    <col min="1" max="1" width="5.7109375" style="16" customWidth="1"/>
    <col min="2" max="2" width="51.85546875" style="16" bestFit="1" customWidth="1"/>
    <col min="3" max="3" width="11.85546875" style="16" bestFit="1" customWidth="1"/>
    <col min="4" max="4" width="31" style="16" customWidth="1"/>
    <col min="5" max="5" width="5.5703125" style="73" customWidth="1"/>
    <col min="6" max="6" width="18" style="16" customWidth="1"/>
    <col min="7" max="7" width="14.140625" style="16" customWidth="1"/>
    <col min="8" max="8" width="21.5703125" style="16" customWidth="1"/>
    <col min="9" max="9" width="14.85546875" style="16" customWidth="1"/>
    <col min="10" max="10" width="15.42578125" style="16" customWidth="1"/>
    <col min="11" max="11" width="24" style="16" customWidth="1"/>
    <col min="12" max="16384" width="9.140625" style="16"/>
  </cols>
  <sheetData>
    <row r="9" spans="2:10" s="19" customFormat="1" ht="15" customHeight="1" x14ac:dyDescent="0.25">
      <c r="B9" s="17" t="s">
        <v>0</v>
      </c>
      <c r="C9" s="18"/>
      <c r="D9" s="110" t="s">
        <v>23</v>
      </c>
      <c r="E9" s="61"/>
      <c r="F9" s="62" t="s">
        <v>21</v>
      </c>
      <c r="G9" s="74">
        <f>COUNT(G13:G15)</f>
        <v>3</v>
      </c>
    </row>
    <row r="10" spans="2:10" s="19" customFormat="1" ht="15" customHeight="1" x14ac:dyDescent="0.2">
      <c r="B10" s="20" t="s">
        <v>20</v>
      </c>
      <c r="C10" s="21"/>
      <c r="D10" s="106" t="str">
        <f>C19*100&amp;"/"&amp;C20*100</f>
        <v>95/10</v>
      </c>
      <c r="E10" s="63"/>
      <c r="G10" s="26"/>
    </row>
    <row r="11" spans="2:10" s="19" customFormat="1" ht="15" customHeight="1" x14ac:dyDescent="0.25">
      <c r="B11" s="20" t="s">
        <v>4</v>
      </c>
      <c r="C11" s="21"/>
      <c r="D11" s="64"/>
      <c r="E11" s="61"/>
      <c r="F11" s="65" t="s">
        <v>44</v>
      </c>
      <c r="G11" s="66" t="s">
        <v>36</v>
      </c>
      <c r="H11" s="66" t="s">
        <v>38</v>
      </c>
      <c r="I11" s="66" t="s">
        <v>40</v>
      </c>
      <c r="J11" s="66" t="s">
        <v>42</v>
      </c>
    </row>
    <row r="12" spans="2:10" s="19" customFormat="1" ht="15" customHeight="1" x14ac:dyDescent="0.25">
      <c r="B12" s="22" t="s">
        <v>29</v>
      </c>
      <c r="C12" s="23"/>
      <c r="D12" s="24"/>
      <c r="E12" s="61"/>
      <c r="F12" s="67" t="s">
        <v>45</v>
      </c>
      <c r="G12" s="68" t="s">
        <v>37</v>
      </c>
      <c r="H12" s="68" t="s">
        <v>39</v>
      </c>
      <c r="I12" s="68" t="s">
        <v>41</v>
      </c>
      <c r="J12" s="68" t="s">
        <v>43</v>
      </c>
    </row>
    <row r="13" spans="2:10" s="19" customFormat="1" ht="15" customHeight="1" x14ac:dyDescent="0.2">
      <c r="B13" s="25"/>
      <c r="C13" s="25"/>
      <c r="D13" s="25"/>
      <c r="E13" s="61"/>
      <c r="F13" s="69">
        <v>1</v>
      </c>
      <c r="G13" s="81">
        <v>0.2</v>
      </c>
      <c r="H13" s="81">
        <v>0.06</v>
      </c>
      <c r="I13" s="71">
        <v>30000</v>
      </c>
      <c r="J13" s="117">
        <f>ROUNDUP($C$26*I13/$C$25,0)</f>
        <v>16</v>
      </c>
    </row>
    <row r="14" spans="2:10" s="19" customFormat="1" ht="15" customHeight="1" x14ac:dyDescent="0.25">
      <c r="B14" s="28" t="s">
        <v>35</v>
      </c>
      <c r="C14" s="29"/>
      <c r="D14" s="30"/>
      <c r="E14" s="61"/>
      <c r="F14" s="69">
        <v>2</v>
      </c>
      <c r="G14" s="81">
        <v>0.05</v>
      </c>
      <c r="H14" s="81">
        <v>0.09</v>
      </c>
      <c r="I14" s="71">
        <v>10000</v>
      </c>
      <c r="J14" s="117">
        <f t="shared" ref="J14:J22" si="0">ROUNDUP($C$26*I14/$C$25,0)</f>
        <v>6</v>
      </c>
    </row>
    <row r="15" spans="2:10" s="19" customFormat="1" ht="15" customHeight="1" x14ac:dyDescent="0.2">
      <c r="B15" s="31" t="s">
        <v>33</v>
      </c>
      <c r="C15" s="32"/>
      <c r="D15" s="33"/>
      <c r="E15" s="61"/>
      <c r="F15" s="69">
        <v>3</v>
      </c>
      <c r="G15" s="81">
        <v>0.3</v>
      </c>
      <c r="H15" s="81">
        <v>0.03</v>
      </c>
      <c r="I15" s="71">
        <v>20000</v>
      </c>
      <c r="J15" s="117">
        <f t="shared" si="0"/>
        <v>11</v>
      </c>
    </row>
    <row r="16" spans="2:10" s="19" customFormat="1" ht="15" customHeight="1" x14ac:dyDescent="0.2">
      <c r="B16" s="34" t="s">
        <v>34</v>
      </c>
      <c r="C16" s="35"/>
      <c r="D16" s="36"/>
      <c r="E16" s="72"/>
      <c r="F16" s="69">
        <v>4</v>
      </c>
      <c r="G16" s="70"/>
      <c r="H16" s="70"/>
      <c r="I16" s="71"/>
      <c r="J16" s="117">
        <f t="shared" si="0"/>
        <v>0</v>
      </c>
    </row>
    <row r="17" spans="2:16" s="19" customFormat="1" ht="15" customHeight="1" x14ac:dyDescent="0.2">
      <c r="B17" s="54"/>
      <c r="C17" s="25"/>
      <c r="D17" s="25"/>
      <c r="E17" s="72"/>
      <c r="F17" s="69">
        <v>5</v>
      </c>
      <c r="G17" s="70"/>
      <c r="H17" s="70"/>
      <c r="I17" s="71"/>
      <c r="J17" s="117">
        <f t="shared" si="0"/>
        <v>0</v>
      </c>
    </row>
    <row r="18" spans="2:16" s="19" customFormat="1" ht="15" customHeight="1" x14ac:dyDescent="0.2">
      <c r="B18" s="55" t="s">
        <v>3</v>
      </c>
      <c r="C18" s="55" t="s">
        <v>1</v>
      </c>
      <c r="D18" s="55" t="s">
        <v>2</v>
      </c>
      <c r="E18" s="72"/>
      <c r="F18" s="69">
        <v>6</v>
      </c>
      <c r="G18" s="70"/>
      <c r="H18" s="70"/>
      <c r="I18" s="71"/>
      <c r="J18" s="117">
        <f t="shared" si="0"/>
        <v>0</v>
      </c>
    </row>
    <row r="19" spans="2:16" s="19" customFormat="1" ht="15" customHeight="1" x14ac:dyDescent="0.2">
      <c r="B19" s="57" t="s">
        <v>6</v>
      </c>
      <c r="C19" s="59">
        <v>0.95</v>
      </c>
      <c r="D19" s="44" t="s">
        <v>7</v>
      </c>
      <c r="E19" s="72"/>
      <c r="F19" s="69">
        <v>7</v>
      </c>
      <c r="G19" s="70"/>
      <c r="H19" s="70"/>
      <c r="I19" s="71"/>
      <c r="J19" s="117">
        <f t="shared" si="0"/>
        <v>0</v>
      </c>
    </row>
    <row r="20" spans="2:16" s="19" customFormat="1" ht="15" customHeight="1" x14ac:dyDescent="0.2">
      <c r="B20" s="57" t="s">
        <v>9</v>
      </c>
      <c r="C20" s="59">
        <v>0.1</v>
      </c>
      <c r="D20" s="44" t="s">
        <v>13</v>
      </c>
      <c r="E20" s="72"/>
      <c r="F20" s="69">
        <v>8</v>
      </c>
      <c r="G20" s="70"/>
      <c r="H20" s="70"/>
      <c r="I20" s="71"/>
      <c r="J20" s="117">
        <f t="shared" si="0"/>
        <v>0</v>
      </c>
    </row>
    <row r="21" spans="2:16" s="19" customFormat="1" ht="15" customHeight="1" x14ac:dyDescent="0.2">
      <c r="B21" s="57" t="s">
        <v>14</v>
      </c>
      <c r="C21" s="107">
        <f>NORMINV(1-(1-C19)/2,0,1)</f>
        <v>1.9599639845400536</v>
      </c>
      <c r="D21" s="44" t="s">
        <v>15</v>
      </c>
      <c r="E21" s="72"/>
      <c r="F21" s="69">
        <v>9</v>
      </c>
      <c r="G21" s="70"/>
      <c r="H21" s="70"/>
      <c r="I21" s="71"/>
      <c r="J21" s="117">
        <f t="shared" si="0"/>
        <v>0</v>
      </c>
    </row>
    <row r="22" spans="2:16" s="19" customFormat="1" ht="15" customHeight="1" x14ac:dyDescent="0.2">
      <c r="B22" s="57" t="s">
        <v>24</v>
      </c>
      <c r="C22" s="107">
        <f>SUMPRODUCT(G13:G22,I13:I22)/C25</f>
        <v>0.20833333333333334</v>
      </c>
      <c r="D22" s="44" t="s">
        <v>22</v>
      </c>
      <c r="E22" s="72"/>
      <c r="F22" s="69">
        <v>10</v>
      </c>
      <c r="G22" s="70"/>
      <c r="H22" s="70"/>
      <c r="I22" s="71"/>
      <c r="J22" s="117">
        <f t="shared" si="0"/>
        <v>0</v>
      </c>
    </row>
    <row r="23" spans="2:16" s="19" customFormat="1" ht="15" customHeight="1" x14ac:dyDescent="0.2">
      <c r="B23" s="57" t="s">
        <v>26</v>
      </c>
      <c r="C23" s="107">
        <f>SUMPRODUCT(I13:I22,(H13:H22)^2)/C25</f>
        <v>3.4499999999999999E-3</v>
      </c>
      <c r="D23" s="44" t="s">
        <v>22</v>
      </c>
      <c r="E23" s="72"/>
    </row>
    <row r="24" spans="2:16" s="19" customFormat="1" ht="15" customHeight="1" x14ac:dyDescent="0.2">
      <c r="B24" s="57" t="s">
        <v>28</v>
      </c>
      <c r="C24" s="107">
        <f>C23/C22^2</f>
        <v>7.9487999999999989E-2</v>
      </c>
      <c r="D24" s="44" t="s">
        <v>22</v>
      </c>
      <c r="E24" s="72"/>
    </row>
    <row r="25" spans="2:16" s="19" customFormat="1" ht="15" customHeight="1" x14ac:dyDescent="0.2">
      <c r="B25" s="57" t="s">
        <v>11</v>
      </c>
      <c r="C25" s="111">
        <f>SUM(I13:I22)</f>
        <v>60000</v>
      </c>
      <c r="D25" s="44" t="s">
        <v>22</v>
      </c>
      <c r="E25" s="72"/>
    </row>
    <row r="26" spans="2:16" s="19" customFormat="1" ht="15" customHeight="1" thickBot="1" x14ac:dyDescent="0.25">
      <c r="B26" s="57" t="s">
        <v>12</v>
      </c>
      <c r="C26" s="112">
        <f>ROUNDUP(C21^2*C25*C24/((C25-1)*C20^2+C21^2*C24),0)</f>
        <v>31</v>
      </c>
      <c r="D26" s="44" t="s">
        <v>18</v>
      </c>
      <c r="E26" s="72"/>
    </row>
    <row r="27" spans="2:16" ht="15" customHeight="1" thickBot="1" x14ac:dyDescent="0.3">
      <c r="B27" s="57" t="s">
        <v>31</v>
      </c>
      <c r="C27" s="113">
        <f>SUM(J13:J22)</f>
        <v>33</v>
      </c>
      <c r="D27" s="44" t="s">
        <v>30</v>
      </c>
      <c r="F27" s="19"/>
      <c r="G27" s="19"/>
      <c r="H27" s="19"/>
      <c r="I27" s="19"/>
      <c r="J27" s="19"/>
    </row>
    <row r="28" spans="2:16" x14ac:dyDescent="0.25">
      <c r="B28" s="19"/>
      <c r="C28" s="19"/>
      <c r="D28" s="19"/>
      <c r="F28" s="19"/>
      <c r="G28" s="19"/>
      <c r="H28" s="19"/>
      <c r="I28" s="19"/>
      <c r="J28" s="19"/>
    </row>
    <row r="29" spans="2:16" ht="179.25" customHeight="1" x14ac:dyDescent="0.25">
      <c r="B29" s="122" t="s">
        <v>88</v>
      </c>
      <c r="C29" s="123"/>
      <c r="D29" s="124"/>
      <c r="F29" s="19"/>
      <c r="G29" s="19"/>
      <c r="H29" s="19"/>
      <c r="I29" s="19"/>
      <c r="J29" s="19"/>
      <c r="P29" s="109"/>
    </row>
    <row r="30" spans="2:16" x14ac:dyDescent="0.25">
      <c r="B30" s="19"/>
      <c r="C30" s="19"/>
      <c r="D30" s="19"/>
      <c r="F30" s="19"/>
      <c r="G30" s="19"/>
      <c r="H30" s="19"/>
      <c r="I30" s="19"/>
      <c r="J30" s="19"/>
    </row>
    <row r="33" spans="2:11" x14ac:dyDescent="0.25">
      <c r="B33" s="94" t="s">
        <v>86</v>
      </c>
      <c r="C33" s="91"/>
      <c r="D33" s="92"/>
      <c r="E33" s="95"/>
      <c r="F33" s="65" t="s">
        <v>44</v>
      </c>
      <c r="G33" s="66" t="s">
        <v>83</v>
      </c>
      <c r="H33" s="66" t="s">
        <v>84</v>
      </c>
      <c r="I33" s="66" t="s">
        <v>40</v>
      </c>
      <c r="J33" s="66" t="s">
        <v>79</v>
      </c>
      <c r="K33" s="66"/>
    </row>
    <row r="34" spans="2:11" x14ac:dyDescent="0.25">
      <c r="B34" s="25"/>
      <c r="C34" s="25"/>
      <c r="D34" s="25"/>
      <c r="E34" s="61"/>
      <c r="F34" s="67" t="s">
        <v>45</v>
      </c>
      <c r="G34" s="68" t="s">
        <v>37</v>
      </c>
      <c r="H34" s="68" t="s">
        <v>39</v>
      </c>
      <c r="I34" s="68" t="s">
        <v>41</v>
      </c>
      <c r="J34" s="68" t="s">
        <v>80</v>
      </c>
      <c r="K34" s="75"/>
    </row>
    <row r="35" spans="2:11" x14ac:dyDescent="0.25">
      <c r="B35" s="77" t="s">
        <v>3</v>
      </c>
      <c r="C35" s="77" t="s">
        <v>1</v>
      </c>
      <c r="D35" s="77" t="s">
        <v>2</v>
      </c>
      <c r="E35" s="61"/>
      <c r="F35" s="69">
        <v>1</v>
      </c>
      <c r="G35" s="81">
        <v>0.22</v>
      </c>
      <c r="H35" s="81">
        <v>7.0000000000000007E-2</v>
      </c>
      <c r="I35" s="71">
        <v>30000</v>
      </c>
      <c r="J35" s="82">
        <v>42</v>
      </c>
      <c r="K35" s="118">
        <f>(I35/C$37)^2*(1-J35/I35)*(H35)^2/J35</f>
        <v>2.9125833333333338E-5</v>
      </c>
    </row>
    <row r="36" spans="2:11" x14ac:dyDescent="0.25">
      <c r="B36" s="57" t="s">
        <v>24</v>
      </c>
      <c r="C36" s="114">
        <f>SUMPRODUCT(G35:G44,I35:I44)/C37</f>
        <v>0.21333333333333335</v>
      </c>
      <c r="D36" s="44" t="s">
        <v>22</v>
      </c>
      <c r="E36" s="61"/>
      <c r="F36" s="69">
        <v>2</v>
      </c>
      <c r="G36" s="81">
        <v>0.06</v>
      </c>
      <c r="H36" s="81">
        <v>0.06</v>
      </c>
      <c r="I36" s="71">
        <v>10000</v>
      </c>
      <c r="J36" s="82">
        <v>12</v>
      </c>
      <c r="K36" s="118">
        <f t="shared" ref="K36:K44" si="1">(I36/C$37)^2*(1-J36/I36)*(H36)^2/J36</f>
        <v>8.3233333333333338E-6</v>
      </c>
    </row>
    <row r="37" spans="2:11" x14ac:dyDescent="0.25">
      <c r="B37" s="57" t="s">
        <v>11</v>
      </c>
      <c r="C37" s="111">
        <f>SUM(I35:I44)</f>
        <v>60000</v>
      </c>
      <c r="D37" s="44" t="s">
        <v>22</v>
      </c>
      <c r="E37" s="61"/>
      <c r="F37" s="69">
        <v>3</v>
      </c>
      <c r="G37" s="81">
        <v>0.28000000000000003</v>
      </c>
      <c r="H37" s="81">
        <v>0.04</v>
      </c>
      <c r="I37" s="71">
        <v>20000</v>
      </c>
      <c r="J37" s="82">
        <v>25</v>
      </c>
      <c r="K37" s="118">
        <f t="shared" si="1"/>
        <v>7.1022222222222224E-6</v>
      </c>
    </row>
    <row r="38" spans="2:11" ht="15.75" thickBot="1" x14ac:dyDescent="0.3">
      <c r="B38" s="57" t="s">
        <v>82</v>
      </c>
      <c r="C38" s="115">
        <f>SUMIF(K35:K44, "&lt;&gt;#DIV/0!")^0.5</f>
        <v>6.6746826807638502E-3</v>
      </c>
      <c r="D38" s="44"/>
      <c r="E38" s="72"/>
      <c r="F38" s="69">
        <v>4</v>
      </c>
      <c r="G38" s="70"/>
      <c r="H38" s="70"/>
      <c r="I38" s="71"/>
      <c r="J38" s="82"/>
      <c r="K38" s="119" t="e">
        <f>(I38/C$37)^2*(1-J38/I38)*(H38)^2/J38</f>
        <v>#DIV/0!</v>
      </c>
    </row>
    <row r="39" spans="2:11" ht="15.75" thickBot="1" x14ac:dyDescent="0.3">
      <c r="B39" s="57" t="s">
        <v>9</v>
      </c>
      <c r="C39" s="116">
        <f>C21*C38/C36</f>
        <v>6.1322520293111256E-2</v>
      </c>
      <c r="D39" s="57"/>
      <c r="E39" s="72"/>
      <c r="F39" s="69">
        <v>5</v>
      </c>
      <c r="G39" s="70"/>
      <c r="H39" s="70"/>
      <c r="I39" s="71"/>
      <c r="J39" s="82"/>
      <c r="K39" s="119" t="e">
        <f t="shared" si="1"/>
        <v>#DIV/0!</v>
      </c>
    </row>
    <row r="40" spans="2:11" x14ac:dyDescent="0.25">
      <c r="B40" s="85"/>
      <c r="C40" s="85"/>
      <c r="D40" s="85"/>
      <c r="E40" s="72"/>
      <c r="F40" s="69">
        <v>6</v>
      </c>
      <c r="G40" s="70"/>
      <c r="H40" s="70"/>
      <c r="I40" s="71"/>
      <c r="J40" s="82"/>
      <c r="K40" s="119" t="e">
        <f t="shared" si="1"/>
        <v>#DIV/0!</v>
      </c>
    </row>
    <row r="41" spans="2:11" x14ac:dyDescent="0.25">
      <c r="B41" s="86"/>
      <c r="C41" s="87"/>
      <c r="D41" s="88"/>
      <c r="E41" s="72"/>
      <c r="F41" s="69">
        <v>7</v>
      </c>
      <c r="G41" s="70"/>
      <c r="H41" s="70"/>
      <c r="I41" s="71"/>
      <c r="J41" s="82"/>
      <c r="K41" s="119" t="e">
        <f t="shared" si="1"/>
        <v>#DIV/0!</v>
      </c>
    </row>
    <row r="42" spans="2:11" x14ac:dyDescent="0.25">
      <c r="B42" s="86"/>
      <c r="C42" s="87"/>
      <c r="D42" s="88"/>
      <c r="E42" s="72"/>
      <c r="F42" s="69">
        <v>8</v>
      </c>
      <c r="G42" s="70"/>
      <c r="H42" s="70"/>
      <c r="I42" s="71"/>
      <c r="J42" s="82"/>
      <c r="K42" s="119" t="e">
        <f t="shared" si="1"/>
        <v>#DIV/0!</v>
      </c>
    </row>
    <row r="43" spans="2:11" x14ac:dyDescent="0.25">
      <c r="B43" s="86"/>
      <c r="C43" s="89"/>
      <c r="D43" s="88"/>
      <c r="E43" s="72"/>
      <c r="F43" s="69">
        <v>9</v>
      </c>
      <c r="G43" s="70"/>
      <c r="H43" s="70"/>
      <c r="I43" s="71"/>
      <c r="J43" s="82"/>
      <c r="K43" s="119" t="e">
        <f t="shared" si="1"/>
        <v>#DIV/0!</v>
      </c>
    </row>
    <row r="44" spans="2:11" x14ac:dyDescent="0.25">
      <c r="B44" s="86"/>
      <c r="C44" s="89"/>
      <c r="D44" s="88"/>
      <c r="E44" s="72"/>
      <c r="F44" s="69">
        <v>10</v>
      </c>
      <c r="G44" s="70"/>
      <c r="H44" s="70"/>
      <c r="I44" s="71"/>
      <c r="J44" s="82"/>
      <c r="K44" s="119" t="e">
        <f t="shared" si="1"/>
        <v>#DIV/0!</v>
      </c>
    </row>
    <row r="45" spans="2:11" x14ac:dyDescent="0.25">
      <c r="B45" s="86"/>
      <c r="C45" s="89"/>
      <c r="D45" s="88"/>
      <c r="E45" s="72"/>
      <c r="F45" s="19"/>
      <c r="G45" s="19"/>
      <c r="H45" s="19"/>
      <c r="I45" s="19"/>
      <c r="J45" s="19"/>
    </row>
    <row r="46" spans="2:11" ht="45" customHeight="1" x14ac:dyDescent="0.25">
      <c r="B46" s="122" t="s">
        <v>89</v>
      </c>
      <c r="C46" s="123"/>
      <c r="D46" s="124"/>
      <c r="E46" s="72"/>
      <c r="F46" s="19"/>
      <c r="G46" s="19"/>
      <c r="H46" s="19"/>
      <c r="I46" s="19"/>
      <c r="J46" s="19"/>
    </row>
    <row r="47" spans="2:11" x14ac:dyDescent="0.25">
      <c r="B47" s="86"/>
      <c r="C47" s="90"/>
      <c r="D47" s="88"/>
      <c r="E47" s="72"/>
      <c r="F47" s="19"/>
      <c r="G47" s="19"/>
      <c r="H47" s="19"/>
      <c r="I47" s="19"/>
      <c r="J47" s="19"/>
    </row>
    <row r="48" spans="2:11" x14ac:dyDescent="0.25">
      <c r="B48" s="86"/>
      <c r="C48" s="90"/>
      <c r="D48" s="88"/>
      <c r="E48" s="72"/>
      <c r="F48" s="19"/>
      <c r="G48" s="19"/>
      <c r="H48" s="19"/>
      <c r="I48" s="19"/>
      <c r="J48" s="19"/>
    </row>
    <row r="49" spans="2:10" x14ac:dyDescent="0.25">
      <c r="B49" s="86"/>
      <c r="C49" s="90"/>
      <c r="D49" s="88"/>
      <c r="F49" s="19"/>
      <c r="G49" s="19"/>
      <c r="H49" s="19"/>
      <c r="I49" s="19"/>
      <c r="J49" s="19"/>
    </row>
    <row r="50" spans="2:10" x14ac:dyDescent="0.25">
      <c r="B50" s="25"/>
      <c r="C50" s="25"/>
      <c r="D50" s="25"/>
      <c r="F50" s="19"/>
      <c r="G50" s="19"/>
      <c r="H50" s="19"/>
      <c r="I50" s="19"/>
      <c r="J50" s="19"/>
    </row>
  </sheetData>
  <sheetProtection password="CDF2" sheet="1" objects="1" scenarios="1"/>
  <mergeCells count="2">
    <mergeCell ref="B29:D29"/>
    <mergeCell ref="B46:D46"/>
  </mergeCells>
  <pageMargins left="0.7" right="0.7" top="0.75" bottom="0.75" header="0.3" footer="0.3"/>
  <pageSetup paperSize="9" scale="69"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9:S47"/>
  <sheetViews>
    <sheetView showGridLines="0" zoomScaleNormal="100" workbookViewId="0">
      <selection activeCell="F1" sqref="F1"/>
    </sheetView>
  </sheetViews>
  <sheetFormatPr defaultRowHeight="15" x14ac:dyDescent="0.25"/>
  <cols>
    <col min="1" max="1" width="5.7109375" style="16" customWidth="1"/>
    <col min="2" max="2" width="55.28515625" style="16" customWidth="1"/>
    <col min="3" max="3" width="12.140625" style="16" customWidth="1"/>
    <col min="4" max="4" width="31.140625" style="16" customWidth="1"/>
    <col min="5" max="5" width="5.7109375" style="73" customWidth="1"/>
    <col min="6" max="6" width="17.42578125" style="16" customWidth="1"/>
    <col min="7" max="9" width="16" style="16" customWidth="1"/>
    <col min="10" max="10" width="21.28515625" style="16" customWidth="1"/>
    <col min="11" max="16384" width="9.140625" style="16"/>
  </cols>
  <sheetData>
    <row r="9" spans="2:9" x14ac:dyDescent="0.25">
      <c r="B9" s="17" t="s">
        <v>16</v>
      </c>
      <c r="C9" s="18"/>
      <c r="D9" s="110" t="s">
        <v>23</v>
      </c>
      <c r="E9" s="61"/>
      <c r="F9" s="62" t="s">
        <v>21</v>
      </c>
      <c r="G9" s="78">
        <f>COUNT(G13:G15)</f>
        <v>3</v>
      </c>
      <c r="H9" s="19"/>
      <c r="I9" s="19"/>
    </row>
    <row r="10" spans="2:9" x14ac:dyDescent="0.25">
      <c r="B10" s="20" t="s">
        <v>20</v>
      </c>
      <c r="C10" s="21"/>
      <c r="D10" s="106" t="str">
        <f>C19*100&amp;"/"&amp;C20*100</f>
        <v>95/10</v>
      </c>
      <c r="E10" s="63"/>
      <c r="F10" s="19"/>
      <c r="G10" s="26"/>
      <c r="H10" s="19"/>
      <c r="I10" s="19"/>
    </row>
    <row r="11" spans="2:9" x14ac:dyDescent="0.25">
      <c r="B11" s="20" t="s">
        <v>4</v>
      </c>
      <c r="C11" s="21"/>
      <c r="D11" s="64"/>
      <c r="E11" s="61"/>
      <c r="F11" s="66" t="s">
        <v>46</v>
      </c>
      <c r="G11" s="66" t="s">
        <v>36</v>
      </c>
      <c r="H11" s="66" t="s">
        <v>49</v>
      </c>
      <c r="I11" s="66" t="s">
        <v>42</v>
      </c>
    </row>
    <row r="12" spans="2:9" x14ac:dyDescent="0.25">
      <c r="B12" s="22" t="s">
        <v>29</v>
      </c>
      <c r="C12" s="23"/>
      <c r="D12" s="24"/>
      <c r="E12" s="61"/>
      <c r="F12" s="75" t="s">
        <v>47</v>
      </c>
      <c r="G12" s="75" t="s">
        <v>48</v>
      </c>
      <c r="H12" s="75" t="s">
        <v>50</v>
      </c>
      <c r="I12" s="75" t="s">
        <v>43</v>
      </c>
    </row>
    <row r="13" spans="2:9" x14ac:dyDescent="0.25">
      <c r="B13" s="25"/>
      <c r="C13" s="25"/>
      <c r="D13" s="25"/>
      <c r="E13" s="61"/>
      <c r="F13" s="76">
        <v>1</v>
      </c>
      <c r="G13" s="70">
        <v>0.84</v>
      </c>
      <c r="H13" s="71">
        <v>30000</v>
      </c>
      <c r="I13" s="117">
        <f t="shared" ref="I13:I22" si="0">ROUNDUP($C$26*H13/$C$25,0)</f>
        <v>35</v>
      </c>
    </row>
    <row r="14" spans="2:9" x14ac:dyDescent="0.25">
      <c r="B14" s="28" t="s">
        <v>35</v>
      </c>
      <c r="C14" s="29"/>
      <c r="D14" s="30"/>
      <c r="E14" s="61"/>
      <c r="F14" s="76">
        <v>2</v>
      </c>
      <c r="G14" s="70">
        <v>0.73</v>
      </c>
      <c r="H14" s="71">
        <v>10000</v>
      </c>
      <c r="I14" s="117">
        <f t="shared" si="0"/>
        <v>12</v>
      </c>
    </row>
    <row r="15" spans="2:9" x14ac:dyDescent="0.25">
      <c r="B15" s="31" t="s">
        <v>33</v>
      </c>
      <c r="C15" s="32"/>
      <c r="D15" s="33"/>
      <c r="E15" s="61"/>
      <c r="F15" s="76">
        <v>3</v>
      </c>
      <c r="G15" s="70">
        <v>0.91</v>
      </c>
      <c r="H15" s="71">
        <v>20000</v>
      </c>
      <c r="I15" s="117">
        <f t="shared" si="0"/>
        <v>23</v>
      </c>
    </row>
    <row r="16" spans="2:9" x14ac:dyDescent="0.25">
      <c r="B16" s="34" t="s">
        <v>34</v>
      </c>
      <c r="C16" s="35"/>
      <c r="D16" s="36"/>
      <c r="E16" s="72"/>
      <c r="F16" s="76">
        <v>4</v>
      </c>
      <c r="G16" s="70"/>
      <c r="H16" s="71"/>
      <c r="I16" s="117">
        <f>ROUNDUP($C$26*H16/$C$25,0)</f>
        <v>0</v>
      </c>
    </row>
    <row r="17" spans="2:19" x14ac:dyDescent="0.25">
      <c r="B17" s="54"/>
      <c r="C17" s="25"/>
      <c r="D17" s="25"/>
      <c r="E17" s="72"/>
      <c r="F17" s="76">
        <v>5</v>
      </c>
      <c r="G17" s="70"/>
      <c r="H17" s="71"/>
      <c r="I17" s="117">
        <f t="shared" si="0"/>
        <v>0</v>
      </c>
    </row>
    <row r="18" spans="2:19" x14ac:dyDescent="0.25">
      <c r="B18" s="77" t="s">
        <v>3</v>
      </c>
      <c r="C18" s="77" t="s">
        <v>1</v>
      </c>
      <c r="D18" s="77" t="s">
        <v>2</v>
      </c>
      <c r="E18" s="72"/>
      <c r="F18" s="76">
        <v>6</v>
      </c>
      <c r="G18" s="70"/>
      <c r="H18" s="71"/>
      <c r="I18" s="117">
        <f t="shared" si="0"/>
        <v>0</v>
      </c>
    </row>
    <row r="19" spans="2:19" x14ac:dyDescent="0.25">
      <c r="B19" s="57" t="s">
        <v>6</v>
      </c>
      <c r="C19" s="59">
        <v>0.95</v>
      </c>
      <c r="D19" s="44" t="s">
        <v>7</v>
      </c>
      <c r="E19" s="72"/>
      <c r="F19" s="76">
        <v>7</v>
      </c>
      <c r="G19" s="70"/>
      <c r="H19" s="71"/>
      <c r="I19" s="117">
        <f t="shared" si="0"/>
        <v>0</v>
      </c>
    </row>
    <row r="20" spans="2:19" x14ac:dyDescent="0.25">
      <c r="B20" s="57" t="s">
        <v>9</v>
      </c>
      <c r="C20" s="59">
        <v>0.1</v>
      </c>
      <c r="D20" s="44" t="s">
        <v>13</v>
      </c>
      <c r="E20" s="72"/>
      <c r="F20" s="76">
        <v>8</v>
      </c>
      <c r="G20" s="70"/>
      <c r="H20" s="71"/>
      <c r="I20" s="117">
        <f t="shared" si="0"/>
        <v>0</v>
      </c>
    </row>
    <row r="21" spans="2:19" x14ac:dyDescent="0.25">
      <c r="B21" s="57" t="s">
        <v>14</v>
      </c>
      <c r="C21" s="107">
        <f>NORMINV(1-(1-C19)/2,0,1)</f>
        <v>1.9599639845400536</v>
      </c>
      <c r="D21" s="44" t="s">
        <v>15</v>
      </c>
      <c r="E21" s="72"/>
      <c r="F21" s="76">
        <v>9</v>
      </c>
      <c r="G21" s="70"/>
      <c r="H21" s="71"/>
      <c r="I21" s="117">
        <f t="shared" si="0"/>
        <v>0</v>
      </c>
    </row>
    <row r="22" spans="2:19" x14ac:dyDescent="0.25">
      <c r="B22" s="57" t="s">
        <v>25</v>
      </c>
      <c r="C22" s="107">
        <f>SUMPRODUCT(G13:G22,H13:H22)/C25</f>
        <v>0.84499999999999997</v>
      </c>
      <c r="D22" s="44" t="s">
        <v>22</v>
      </c>
      <c r="E22" s="72"/>
      <c r="F22" s="76">
        <v>10</v>
      </c>
      <c r="G22" s="70"/>
      <c r="H22" s="71"/>
      <c r="I22" s="117">
        <f t="shared" si="0"/>
        <v>0</v>
      </c>
    </row>
    <row r="23" spans="2:19" x14ac:dyDescent="0.25">
      <c r="B23" s="57" t="s">
        <v>26</v>
      </c>
      <c r="C23" s="107">
        <f>SUMPRODUCT(H13:H22,G13:G22,1-G13:G22)/C25</f>
        <v>0.12734999999999999</v>
      </c>
      <c r="D23" s="44" t="s">
        <v>22</v>
      </c>
      <c r="E23" s="72"/>
      <c r="F23" s="19"/>
      <c r="G23" s="19"/>
      <c r="H23" s="19"/>
      <c r="I23" s="19"/>
    </row>
    <row r="24" spans="2:19" x14ac:dyDescent="0.25">
      <c r="B24" s="57" t="s">
        <v>27</v>
      </c>
      <c r="C24" s="107">
        <f>C23/C22^2</f>
        <v>0.17835509961135815</v>
      </c>
      <c r="D24" s="44" t="s">
        <v>22</v>
      </c>
      <c r="E24" s="72"/>
      <c r="F24" s="19"/>
      <c r="G24" s="19"/>
      <c r="H24" s="19"/>
      <c r="I24" s="19"/>
    </row>
    <row r="25" spans="2:19" x14ac:dyDescent="0.25">
      <c r="B25" s="57" t="s">
        <v>11</v>
      </c>
      <c r="C25" s="111">
        <f>SUM(H13:H22)</f>
        <v>60000</v>
      </c>
      <c r="D25" s="44" t="s">
        <v>22</v>
      </c>
      <c r="E25" s="72"/>
      <c r="F25" s="19"/>
      <c r="G25" s="19"/>
      <c r="H25" s="19"/>
      <c r="I25" s="19"/>
    </row>
    <row r="26" spans="2:19" ht="15.75" thickBot="1" x14ac:dyDescent="0.3">
      <c r="B26" s="57" t="s">
        <v>12</v>
      </c>
      <c r="C26" s="112">
        <f>ROUNDUP(C21^2*C25*C24/((C25-1)*C20^2+C21^2*C24),0)</f>
        <v>69</v>
      </c>
      <c r="D26" s="44" t="s">
        <v>18</v>
      </c>
      <c r="E26" s="72"/>
      <c r="F26" s="19"/>
      <c r="G26" s="19"/>
      <c r="H26" s="19"/>
      <c r="I26" s="19"/>
    </row>
    <row r="27" spans="2:19" ht="15.75" thickBot="1" x14ac:dyDescent="0.3">
      <c r="B27" s="57" t="s">
        <v>32</v>
      </c>
      <c r="C27" s="113">
        <f>SUM(I13:I22)</f>
        <v>70</v>
      </c>
      <c r="D27" s="44" t="s">
        <v>30</v>
      </c>
      <c r="F27" s="19"/>
      <c r="G27" s="19"/>
      <c r="H27" s="19"/>
      <c r="I27" s="19"/>
    </row>
    <row r="28" spans="2:19" x14ac:dyDescent="0.25">
      <c r="B28" s="19"/>
      <c r="C28" s="19"/>
      <c r="D28" s="19"/>
      <c r="F28" s="19"/>
      <c r="G28" s="19"/>
      <c r="H28" s="19"/>
      <c r="I28" s="19"/>
    </row>
    <row r="29" spans="2:19" ht="183" customHeight="1" x14ac:dyDescent="0.25">
      <c r="B29" s="122" t="s">
        <v>88</v>
      </c>
      <c r="C29" s="123"/>
      <c r="D29" s="124"/>
      <c r="F29" s="19"/>
      <c r="G29" s="19"/>
      <c r="H29" s="19"/>
      <c r="I29" s="19"/>
      <c r="S29" s="109"/>
    </row>
    <row r="30" spans="2:19" x14ac:dyDescent="0.25">
      <c r="B30" s="19"/>
      <c r="C30" s="19"/>
      <c r="D30" s="19"/>
      <c r="F30" s="19"/>
      <c r="G30" s="19"/>
      <c r="H30" s="19"/>
      <c r="I30" s="19"/>
    </row>
    <row r="33" spans="2:10" x14ac:dyDescent="0.25">
      <c r="B33" s="94" t="s">
        <v>86</v>
      </c>
      <c r="C33" s="91"/>
      <c r="D33" s="92"/>
      <c r="E33" s="61"/>
      <c r="F33" s="66" t="s">
        <v>46</v>
      </c>
      <c r="G33" s="66" t="s">
        <v>85</v>
      </c>
      <c r="H33" s="66" t="s">
        <v>49</v>
      </c>
      <c r="I33" s="66" t="s">
        <v>79</v>
      </c>
      <c r="J33" s="66"/>
    </row>
    <row r="34" spans="2:10" x14ac:dyDescent="0.25">
      <c r="B34" s="25"/>
      <c r="C34" s="25"/>
      <c r="D34" s="25"/>
      <c r="E34" s="61"/>
      <c r="F34" s="75" t="s">
        <v>47</v>
      </c>
      <c r="G34" s="75" t="s">
        <v>48</v>
      </c>
      <c r="H34" s="75" t="s">
        <v>50</v>
      </c>
      <c r="I34" s="75" t="s">
        <v>80</v>
      </c>
      <c r="J34" s="75"/>
    </row>
    <row r="35" spans="2:10" x14ac:dyDescent="0.25">
      <c r="B35" s="77" t="s">
        <v>3</v>
      </c>
      <c r="C35" s="77" t="s">
        <v>1</v>
      </c>
      <c r="D35" s="77" t="s">
        <v>2</v>
      </c>
      <c r="E35" s="61"/>
      <c r="F35" s="76">
        <v>1</v>
      </c>
      <c r="G35" s="70">
        <v>0.83</v>
      </c>
      <c r="H35" s="71">
        <v>30000</v>
      </c>
      <c r="I35" s="82">
        <v>42</v>
      </c>
      <c r="J35" s="119">
        <f t="shared" ref="J35:J44" si="1">(H35/C$37)^2*(1-I35/H35)*G35*(1-G35)/I35</f>
        <v>8.3870511904761923E-4</v>
      </c>
    </row>
    <row r="36" spans="2:10" x14ac:dyDescent="0.25">
      <c r="B36" s="57" t="s">
        <v>25</v>
      </c>
      <c r="C36" s="107">
        <f>SUMPRODUCT(G35:G44,H35:H44)/C37</f>
        <v>0.84666666666666668</v>
      </c>
      <c r="D36" s="44" t="s">
        <v>22</v>
      </c>
      <c r="E36" s="61"/>
      <c r="F36" s="76">
        <v>2</v>
      </c>
      <c r="G36" s="70">
        <v>0.75</v>
      </c>
      <c r="H36" s="71">
        <v>10000</v>
      </c>
      <c r="I36" s="82">
        <f t="shared" ref="I36" si="2">ROUNDUP($C$26*H36/$C$25,0)</f>
        <v>12</v>
      </c>
      <c r="J36" s="119">
        <f t="shared" si="1"/>
        <v>4.3350694444444442E-4</v>
      </c>
    </row>
    <row r="37" spans="2:10" x14ac:dyDescent="0.25">
      <c r="B37" s="57" t="s">
        <v>11</v>
      </c>
      <c r="C37" s="111">
        <f>SUM(H35:H44)</f>
        <v>60000</v>
      </c>
      <c r="D37" s="44" t="s">
        <v>22</v>
      </c>
      <c r="E37" s="61"/>
      <c r="F37" s="76">
        <v>3</v>
      </c>
      <c r="G37" s="70">
        <v>0.92</v>
      </c>
      <c r="H37" s="71">
        <v>20000</v>
      </c>
      <c r="I37" s="82">
        <v>25</v>
      </c>
      <c r="J37" s="119">
        <f t="shared" si="1"/>
        <v>3.2670222222222207E-4</v>
      </c>
    </row>
    <row r="38" spans="2:10" ht="15.75" thickBot="1" x14ac:dyDescent="0.3">
      <c r="B38" s="57" t="s">
        <v>81</v>
      </c>
      <c r="C38" s="115">
        <f>SUMIF(J35:J44, "&lt;&gt;#DIV/0!")^0.5</f>
        <v>3.9986426268351187E-2</v>
      </c>
      <c r="D38" s="44"/>
      <c r="E38" s="72"/>
      <c r="F38" s="76">
        <v>4</v>
      </c>
      <c r="G38" s="71"/>
      <c r="H38" s="71"/>
      <c r="I38" s="71"/>
      <c r="J38" s="117" t="e">
        <f>(H38/C$37)^2*(1-I38/H38)*G38*(1-G38)/I38</f>
        <v>#DIV/0!</v>
      </c>
    </row>
    <row r="39" spans="2:10" ht="15.75" thickBot="1" x14ac:dyDescent="0.3">
      <c r="B39" s="57" t="s">
        <v>9</v>
      </c>
      <c r="C39" s="116">
        <f>C21*C38/C36</f>
        <v>9.2565301602088174E-2</v>
      </c>
      <c r="D39" s="57"/>
      <c r="E39" s="72"/>
      <c r="F39" s="76">
        <v>5</v>
      </c>
      <c r="G39" s="71"/>
      <c r="H39" s="71"/>
      <c r="I39" s="71"/>
      <c r="J39" s="117" t="e">
        <f t="shared" si="1"/>
        <v>#DIV/0!</v>
      </c>
    </row>
    <row r="40" spans="2:10" x14ac:dyDescent="0.25">
      <c r="E40" s="72"/>
      <c r="F40" s="76">
        <v>6</v>
      </c>
      <c r="G40" s="71"/>
      <c r="H40" s="71"/>
      <c r="I40" s="71"/>
      <c r="J40" s="117" t="e">
        <f t="shared" si="1"/>
        <v>#DIV/0!</v>
      </c>
    </row>
    <row r="41" spans="2:10" x14ac:dyDescent="0.25">
      <c r="E41" s="72"/>
      <c r="F41" s="76">
        <v>7</v>
      </c>
      <c r="G41" s="71"/>
      <c r="H41" s="71"/>
      <c r="I41" s="71"/>
      <c r="J41" s="117" t="e">
        <f t="shared" si="1"/>
        <v>#DIV/0!</v>
      </c>
    </row>
    <row r="42" spans="2:10" x14ac:dyDescent="0.25">
      <c r="E42" s="72"/>
      <c r="F42" s="76">
        <v>8</v>
      </c>
      <c r="G42" s="71"/>
      <c r="H42" s="71"/>
      <c r="I42" s="71"/>
      <c r="J42" s="117" t="e">
        <f t="shared" si="1"/>
        <v>#DIV/0!</v>
      </c>
    </row>
    <row r="43" spans="2:10" x14ac:dyDescent="0.25">
      <c r="E43" s="72"/>
      <c r="F43" s="76">
        <v>9</v>
      </c>
      <c r="G43" s="71"/>
      <c r="H43" s="71"/>
      <c r="I43" s="71"/>
      <c r="J43" s="117" t="e">
        <f t="shared" si="1"/>
        <v>#DIV/0!</v>
      </c>
    </row>
    <row r="44" spans="2:10" x14ac:dyDescent="0.25">
      <c r="E44" s="72"/>
      <c r="F44" s="76">
        <v>10</v>
      </c>
      <c r="G44" s="71"/>
      <c r="H44" s="71"/>
      <c r="I44" s="71"/>
      <c r="J44" s="117" t="e">
        <f t="shared" si="1"/>
        <v>#DIV/0!</v>
      </c>
    </row>
    <row r="45" spans="2:10" x14ac:dyDescent="0.25">
      <c r="E45" s="72"/>
      <c r="F45" s="19"/>
      <c r="G45" s="19"/>
      <c r="H45" s="19"/>
      <c r="I45" s="19"/>
    </row>
    <row r="46" spans="2:10" ht="43.5" customHeight="1" x14ac:dyDescent="0.25">
      <c r="B46" s="122" t="s">
        <v>87</v>
      </c>
      <c r="C46" s="123"/>
      <c r="D46" s="124"/>
      <c r="E46" s="72"/>
      <c r="F46" s="19"/>
      <c r="G46" s="19"/>
      <c r="H46" s="19"/>
      <c r="I46" s="19"/>
    </row>
    <row r="47" spans="2:10" x14ac:dyDescent="0.25">
      <c r="E47" s="72"/>
      <c r="F47" s="19"/>
      <c r="G47" s="19"/>
      <c r="H47" s="19"/>
      <c r="I47" s="19"/>
    </row>
  </sheetData>
  <sheetProtection password="CDF2" sheet="1" objects="1" scenarios="1"/>
  <mergeCells count="2">
    <mergeCell ref="B29:D29"/>
    <mergeCell ref="B46:D46"/>
  </mergeCells>
  <pageMargins left="0.7" right="0.7" top="0.75" bottom="0.75" header="0.3" footer="0.3"/>
  <pageSetup paperSize="9" scale="77"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I21"/>
  <sheetViews>
    <sheetView showGridLines="0" workbookViewId="0">
      <selection activeCell="F1" sqref="F1"/>
    </sheetView>
  </sheetViews>
  <sheetFormatPr defaultRowHeight="15" x14ac:dyDescent="0.25"/>
  <cols>
    <col min="2" max="2" width="11.140625" customWidth="1"/>
    <col min="3" max="3" width="24" customWidth="1"/>
    <col min="4" max="4" width="56.7109375" customWidth="1"/>
    <col min="5" max="5" width="9.140625" customWidth="1"/>
  </cols>
  <sheetData>
    <row r="8" spans="2:9" x14ac:dyDescent="0.25">
      <c r="D8" s="4" t="s">
        <v>51</v>
      </c>
      <c r="G8" s="4"/>
      <c r="H8" s="4"/>
      <c r="I8" s="4"/>
    </row>
    <row r="9" spans="2:9" x14ac:dyDescent="0.25">
      <c r="E9" s="5"/>
    </row>
    <row r="10" spans="2:9" ht="15.75" thickBot="1" x14ac:dyDescent="0.3">
      <c r="B10" s="15" t="s">
        <v>52</v>
      </c>
      <c r="C10" s="15" t="s">
        <v>53</v>
      </c>
      <c r="D10" s="15" t="s">
        <v>54</v>
      </c>
    </row>
    <row r="11" spans="2:9" ht="9" customHeight="1" x14ac:dyDescent="0.25"/>
    <row r="12" spans="2:9" ht="38.25" x14ac:dyDescent="0.25">
      <c r="B12" s="8" t="s">
        <v>90</v>
      </c>
      <c r="C12" s="120">
        <v>42229</v>
      </c>
      <c r="D12" s="7" t="s">
        <v>68</v>
      </c>
    </row>
    <row r="13" spans="2:9" ht="63.75" x14ac:dyDescent="0.25">
      <c r="B13" s="8" t="s">
        <v>61</v>
      </c>
      <c r="C13" s="6">
        <v>41551</v>
      </c>
      <c r="D13" s="7" t="s">
        <v>59</v>
      </c>
    </row>
    <row r="14" spans="2:9" ht="178.5" x14ac:dyDescent="0.25">
      <c r="B14" s="8" t="s">
        <v>62</v>
      </c>
      <c r="C14" s="6">
        <v>41165</v>
      </c>
      <c r="D14" s="7" t="s">
        <v>60</v>
      </c>
    </row>
    <row r="15" spans="2:9" ht="25.5" x14ac:dyDescent="0.25">
      <c r="B15" s="8" t="s">
        <v>63</v>
      </c>
      <c r="C15" s="6">
        <v>41045</v>
      </c>
      <c r="D15" s="7" t="s">
        <v>55</v>
      </c>
    </row>
    <row r="16" spans="2:9" ht="25.5" x14ac:dyDescent="0.25">
      <c r="B16" s="8" t="s">
        <v>64</v>
      </c>
      <c r="C16" s="6">
        <v>41040</v>
      </c>
      <c r="D16" s="7" t="s">
        <v>65</v>
      </c>
    </row>
    <row r="17" spans="2:4" ht="12" customHeight="1" x14ac:dyDescent="0.25">
      <c r="B17" s="9" t="s">
        <v>56</v>
      </c>
      <c r="C17" s="10"/>
      <c r="D17" s="10"/>
    </row>
    <row r="18" spans="2:4" ht="12" customHeight="1" x14ac:dyDescent="0.25">
      <c r="B18" s="11" t="s">
        <v>57</v>
      </c>
      <c r="C18" s="12"/>
      <c r="D18" s="12"/>
    </row>
    <row r="19" spans="2:4" ht="12" customHeight="1" x14ac:dyDescent="0.25">
      <c r="B19" s="11" t="s">
        <v>58</v>
      </c>
      <c r="C19" s="12"/>
      <c r="D19" s="12"/>
    </row>
    <row r="20" spans="2:4" ht="12" customHeight="1" x14ac:dyDescent="0.25">
      <c r="B20" s="11" t="s">
        <v>66</v>
      </c>
      <c r="C20" s="12"/>
      <c r="D20" s="12"/>
    </row>
    <row r="21" spans="2:4" ht="12" customHeight="1" thickBot="1" x14ac:dyDescent="0.3">
      <c r="B21" s="13" t="s">
        <v>67</v>
      </c>
      <c r="C21" s="14"/>
      <c r="D21" s="14"/>
    </row>
  </sheetData>
  <sheetProtection password="CDF2" sheet="1" objects="1" scenario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 &amp; version</vt:lpstr>
      <vt:lpstr>SRS - Mean</vt:lpstr>
      <vt:lpstr>SRS - Proportion</vt:lpstr>
      <vt:lpstr>Stratified - Mean</vt:lpstr>
      <vt:lpstr>Stratified - Proportion</vt:lpstr>
      <vt:lpstr>Doc Info</vt:lpstr>
    </vt:vector>
  </TitlesOfParts>
  <Company>University of Reading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Gallagher</dc:creator>
  <cp:lastModifiedBy>Lam Peck Wei</cp:lastModifiedBy>
  <cp:lastPrinted>2015-06-19T09:00:13Z</cp:lastPrinted>
  <dcterms:created xsi:type="dcterms:W3CDTF">2014-06-05T17:26:27Z</dcterms:created>
  <dcterms:modified xsi:type="dcterms:W3CDTF">2015-08-13T12:36:56Z</dcterms:modified>
</cp:coreProperties>
</file>